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20\"/>
    </mc:Choice>
  </mc:AlternateContent>
  <bookViews>
    <workbookView xWindow="0" yWindow="0" windowWidth="25200" windowHeight="11550" tabRatio="929" firstSheet="146" activeTab="158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Stabilnego Wzrostu" sheetId="28" r:id="rId32"/>
    <sheet name="Allianz Obligacji Plus" sheetId="22" r:id="rId33"/>
    <sheet name="Allianz Aktywnej Alokacji" sheetId="49" r:id="rId34"/>
    <sheet name="Allianz Akcji Małych i ŚS" sheetId="29" r:id="rId35"/>
    <sheet name="Allianz Konserw." sheetId="30" r:id="rId36"/>
    <sheet name="Allianz Polskich Obl.Skarb." sheetId="48" r:id="rId37"/>
    <sheet name="Allianz Selektywny" sheetId="83" r:id="rId38"/>
    <sheet name="Allianz Akcji Glob." sheetId="42" r:id="rId39"/>
    <sheet name="Allianz Surowców i Energii" sheetId="188" r:id="rId40"/>
    <sheet name="Allianz Akcji Rynkow Wsch" sheetId="195" r:id="rId41"/>
    <sheet name="Allianz Dyn.Multistrategia" sheetId="196" r:id="rId42"/>
    <sheet name="Allianz Def.Multistrategia" sheetId="209" r:id="rId43"/>
    <sheet name="Allianz Zbal.Multistrategia" sheetId="210" r:id="rId44"/>
    <sheet name="Allianz GSD" sheetId="197" r:id="rId45"/>
    <sheet name="Allianz Obligacji Glob." sheetId="229" r:id="rId46"/>
    <sheet name="Altus ASZD" sheetId="156" r:id="rId47"/>
    <sheet name="Aviva Dł.Pap.Korp." sheetId="112" r:id="rId48"/>
    <sheet name="Franklin EDF" sheetId="96" r:id="rId49"/>
    <sheet name="Franklin GFS" sheetId="151" r:id="rId50"/>
    <sheet name="Franklin USO" sheetId="152" r:id="rId51"/>
    <sheet name="GS EMD" sheetId="211" r:id="rId52"/>
    <sheet name="GS GSMBP" sheetId="218" r:id="rId53"/>
    <sheet name="Inwestor Akcji" sheetId="106" r:id="rId54"/>
    <sheet name="Investor Akcji Sp.Dyw." sheetId="123" r:id="rId55"/>
    <sheet name="Investor TOP 25 MS" sheetId="33" r:id="rId56"/>
    <sheet name="Investor Zrównoważony" sheetId="34" r:id="rId57"/>
    <sheet name="Investor Ameryka Łacińska" sheetId="124" r:id="rId58"/>
    <sheet name="Investor BRIC" sheetId="57" r:id="rId59"/>
    <sheet name="Investor Gold" sheetId="55" r:id="rId60"/>
    <sheet name="Investor Got." sheetId="43" r:id="rId61"/>
    <sheet name="Investor Indie i Chiny" sheetId="189" r:id="rId62"/>
    <sheet name="Investor OK" sheetId="212" r:id="rId63"/>
    <sheet name="Investor Oszcz." sheetId="202" r:id="rId64"/>
    <sheet name="Investor ZE" sheetId="201" r:id="rId65"/>
    <sheet name="JPM EMO" sheetId="24" r:id="rId66"/>
    <sheet name="JPM GH" sheetId="149" r:id="rId67"/>
    <sheet name="JPM GSB" sheetId="148" r:id="rId68"/>
    <sheet name="JPM GMO" sheetId="224" r:id="rId69"/>
    <sheet name="Esaliens Akcji" sheetId="186" r:id="rId70"/>
    <sheet name="Esaliens Obligacji" sheetId="35" r:id="rId71"/>
    <sheet name="Esaliens Kons" sheetId="153" r:id="rId72"/>
    <sheet name="Esaliens Strateg" sheetId="47" r:id="rId73"/>
    <sheet name="Millenium Master I" sheetId="27" r:id="rId74"/>
    <sheet name="Millenium Master II" sheetId="70" r:id="rId75"/>
    <sheet name="Millenium Master III" sheetId="71" r:id="rId76"/>
    <sheet name="Millenium Master IV" sheetId="72" r:id="rId77"/>
    <sheet name="Millenium Master V" sheetId="73" r:id="rId78"/>
    <sheet name="Millenium Master VI" sheetId="74" r:id="rId79"/>
    <sheet name="Millenium Master VII" sheetId="75" r:id="rId80"/>
    <sheet name="NN Akcji" sheetId="77" r:id="rId81"/>
    <sheet name="NN Obligacji" sheetId="36" r:id="rId82"/>
    <sheet name="NN AS" sheetId="37" r:id="rId83"/>
    <sheet name="NN ŚMS" sheetId="161" r:id="rId84"/>
    <sheet name="NN Eur.SD" sheetId="115" r:id="rId85"/>
    <sheet name="NN Glob. Długu Korp." sheetId="92" r:id="rId86"/>
    <sheet name="NN Glob.SD" sheetId="90" r:id="rId87"/>
    <sheet name="NN J" sheetId="76" r:id="rId88"/>
    <sheet name="NN NA" sheetId="138" r:id="rId89"/>
    <sheet name="NN ORW" sheetId="136" r:id="rId90"/>
    <sheet name="NN Sp.Dyw.USA" sheetId="137" r:id="rId91"/>
    <sheet name="NN SGA" sheetId="163" r:id="rId92"/>
    <sheet name="NN SDRW" sheetId="213" r:id="rId93"/>
    <sheet name="Noble AMiŚS" sheetId="164" r:id="rId94"/>
    <sheet name="Noble AP" sheetId="114" r:id="rId95"/>
    <sheet name="Noble AA" sheetId="226" r:id="rId96"/>
    <sheet name="Pekao ARW" sheetId="193" r:id="rId97"/>
    <sheet name="Pekao AGD" sheetId="88" r:id="rId98"/>
    <sheet name="Pekao OS" sheetId="167" r:id="rId99"/>
    <sheet name="Pekao Spokojna Inw" sheetId="129" r:id="rId100"/>
    <sheet name="Pekao WDRE" sheetId="168" r:id="rId101"/>
    <sheet name="Pekao Surowców i Energii" sheetId="169" r:id="rId102"/>
    <sheet name="Pekao AP" sheetId="46" r:id="rId103"/>
    <sheet name="Pekao DS" sheetId="89" r:id="rId104"/>
    <sheet name="Pekao OP" sheetId="128" r:id="rId105"/>
    <sheet name="Pekao Kons." sheetId="85" r:id="rId106"/>
    <sheet name="Pekao Kons.+" sheetId="103" r:id="rId107"/>
    <sheet name="Pekao Stab.Inwest." sheetId="102" r:id="rId108"/>
    <sheet name="Pekao DA2" sheetId="104" r:id="rId109"/>
    <sheet name="Pekao AS" sheetId="170" r:id="rId110"/>
    <sheet name="Pekao AE" sheetId="165" r:id="rId111"/>
    <sheet name="Pekao SG" sheetId="166" r:id="rId112"/>
    <sheet name="Pekao MIS" sheetId="214" r:id="rId113"/>
    <sheet name="Pekao OID" sheetId="220" r:id="rId114"/>
    <sheet name="PKO Akcji Nowa Europa" sheetId="171" r:id="rId115"/>
    <sheet name="PKO Obligacji Dług." sheetId="38" r:id="rId116"/>
    <sheet name="PKO Stabilnego Wzrostu" sheetId="23" r:id="rId117"/>
    <sheet name="PKO Zrównoważony" sheetId="25" r:id="rId118"/>
    <sheet name="PZU ASD" sheetId="173" r:id="rId119"/>
    <sheet name="PZU AK" sheetId="174" r:id="rId120"/>
    <sheet name="PZU AMiŚS" sheetId="130" r:id="rId121"/>
    <sheet name="PZU M" sheetId="39" r:id="rId122"/>
    <sheet name="PZU Zrówn." sheetId="100" r:id="rId123"/>
    <sheet name="PZU ARR" sheetId="99" r:id="rId124"/>
    <sheet name="PZU PDP" sheetId="205" r:id="rId125"/>
    <sheet name="Quercus A" sheetId="101" r:id="rId126"/>
    <sheet name="Quercus OK" sheetId="143" r:id="rId127"/>
    <sheet name="Quercus GB" sheetId="144" r:id="rId128"/>
    <sheet name="Schroder ISF ACB" sheetId="142" r:id="rId129"/>
    <sheet name="Schroder ISF AO" sheetId="147" r:id="rId130"/>
    <sheet name="Schroder ISF EMDAR" sheetId="179" r:id="rId131"/>
    <sheet name="Schroder ISF EE" sheetId="146" r:id="rId132"/>
    <sheet name="Schroder ISF FME" sheetId="133" r:id="rId133"/>
    <sheet name="Schroder ISF GDG" sheetId="132" r:id="rId134"/>
    <sheet name="Schroder ISF GCHI" sheetId="135" r:id="rId135"/>
    <sheet name="Skarbiec Kons." sheetId="134" r:id="rId136"/>
    <sheet name="Skarbiec L" sheetId="113" r:id="rId137"/>
    <sheet name="Skarbiec MIŚS" sheetId="140" r:id="rId138"/>
    <sheet name="Skarbiec GMIŚS" sheetId="227" r:id="rId139"/>
    <sheet name="Skarbiec SW" sheetId="175" r:id="rId140"/>
    <sheet name="Skarbiec A" sheetId="215" r:id="rId141"/>
    <sheet name="Skarbiec Brands" sheetId="216" r:id="rId142"/>
    <sheet name="Templeton GB" sheetId="159" r:id="rId143"/>
    <sheet name="Templeton GTR" sheetId="109" r:id="rId144"/>
    <sheet name="Templeton LA" sheetId="108" r:id="rId145"/>
    <sheet name="Generali AD" sheetId="187" r:id="rId146"/>
    <sheet name="Generali AMIŚS" sheetId="177" r:id="rId147"/>
    <sheet name="Generali ANE" sheetId="41" r:id="rId148"/>
    <sheet name="Generali UAWS" sheetId="40" r:id="rId149"/>
    <sheet name="Generali KA" sheetId="64" r:id="rId150"/>
    <sheet name="Generali KO" sheetId="110" r:id="rId151"/>
    <sheet name="Generali P" sheetId="20" r:id="rId152"/>
    <sheet name="Generali KZ" sheetId="62" r:id="rId153"/>
    <sheet name="Generali L" sheetId="26" r:id="rId154"/>
    <sheet name="Generali ONE" sheetId="105" r:id="rId155"/>
    <sheet name="Generali SW" sheetId="63" r:id="rId156"/>
    <sheet name="Generali OA" sheetId="191" r:id="rId157"/>
    <sheet name="Generali ADW" sheetId="228" r:id="rId158"/>
    <sheet name="dodatkowedane" sheetId="80" r:id="rId159"/>
  </sheets>
  <definedNames>
    <definedName name="_AMO_UniqueIdentifier" hidden="1">"'4287f0fd-8dc1-4a44-8575-aa000ae0503c'"</definedName>
    <definedName name="_xlnm.Print_Area" localSheetId="26">'Aktywny - Surowce i Nowe Gosp.'!$B$2:$E$73</definedName>
    <definedName name="_xlnm.Print_Area" localSheetId="32">'Allianz Obligacji Plus'!$B$2:$E$74</definedName>
    <definedName name="_xlnm.Print_Area" localSheetId="47">'Aviva Dł.Pap.Korp.'!$B$2:$E$74</definedName>
    <definedName name="_xlnm.Print_Area" localSheetId="48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3">'Fundusz Aktywny'!$B$2:$E$73</definedName>
    <definedName name="_xlnm.Print_Area" localSheetId="25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1">'Fundusz Konserwatywny'!$B$2:$E$74</definedName>
    <definedName name="_xlnm.Print_Area" localSheetId="24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9">'Fundusz Selektywny'!$B$2:$E$73</definedName>
    <definedName name="_xlnm.Print_Area" localSheetId="22">'Fundusz Zrównoważony'!$B$2:$E$73</definedName>
    <definedName name="_xlnm.Print_Area" localSheetId="150">'Generali KO'!$B$2:$E$74</definedName>
    <definedName name="_xlnm.Print_Area" localSheetId="154">'Generali ONE'!$B$2:$E$74</definedName>
    <definedName name="_xlnm.Print_Area" localSheetId="54">'Investor Akcji Sp.Dyw.'!$B$2:$E$74</definedName>
    <definedName name="_xlnm.Print_Area" localSheetId="57">'Investor Ameryka Łacińska'!$B$2:$E$74</definedName>
    <definedName name="_xlnm.Print_Area" localSheetId="53">'Inwestor Akcji'!$B$2:$E$74</definedName>
    <definedName name="_xlnm.Print_Area" localSheetId="84">'NN Eur.SD'!$B$2:$E$74</definedName>
    <definedName name="_xlnm.Print_Area" localSheetId="85">'NN Glob. Długu Korp.'!$B$2:$E$74</definedName>
    <definedName name="_xlnm.Print_Area" localSheetId="86">'NN Glob.SD'!$B$2:$E$74</definedName>
    <definedName name="_xlnm.Print_Area" localSheetId="95">'Noble AA'!$B$2:$E$74</definedName>
    <definedName name="_xlnm.Print_Area" localSheetId="94">'Noble AP'!$B$2:$E$74</definedName>
    <definedName name="_xlnm.Print_Area" localSheetId="97">'Pekao AGD'!$B$2:$E$74</definedName>
    <definedName name="_xlnm.Print_Area" localSheetId="108">'Pekao DA2'!$B$2:$E$74</definedName>
    <definedName name="_xlnm.Print_Area" localSheetId="103">'Pekao DS'!$B$2:$E$74</definedName>
    <definedName name="_xlnm.Print_Area" localSheetId="105">'Pekao Kons.'!$B$2:$E$74</definedName>
    <definedName name="_xlnm.Print_Area" localSheetId="106">'Pekao Kons.+'!$B$2:$E$74</definedName>
    <definedName name="_xlnm.Print_Area" localSheetId="104">'Pekao OP'!$B$2:$E$74</definedName>
    <definedName name="_xlnm.Print_Area" localSheetId="99">'Pekao Spokojna Inw'!$B$2:$E$74</definedName>
    <definedName name="_xlnm.Print_Area" localSheetId="107">'Pekao Stab.Inwest.'!$B$2:$E$74</definedName>
    <definedName name="_xlnm.Print_Area" localSheetId="13">'Portfel Aktywnej Alokacji'!$B$2:$E$73</definedName>
    <definedName name="_xlnm.Print_Area" localSheetId="16">'Portfel ARR'!$B$2:$E$73</definedName>
    <definedName name="_xlnm.Print_Area" localSheetId="17">'Portfel ARW'!$B$2:$E$74</definedName>
    <definedName name="_xlnm.Print_Area" localSheetId="14">'Portfel Dynamiczny'!$B$2:$E$73</definedName>
    <definedName name="_xlnm.Print_Area" localSheetId="18">'Portfel OZ'!$B$2:$E$74</definedName>
    <definedName name="_xlnm.Print_Area" localSheetId="15">'Portfel Stabilnego Wzrostu'!$B$2:$E$73</definedName>
    <definedName name="_xlnm.Print_Area" localSheetId="120">'PZU AMiŚS'!$B$2:$E$74</definedName>
    <definedName name="_xlnm.Print_Area" localSheetId="123">'PZU ARR'!$B$2:$E$74</definedName>
    <definedName name="_xlnm.Print_Area" localSheetId="121">'PZU M'!$B$2:$E$74</definedName>
    <definedName name="_xlnm.Print_Area" localSheetId="122">'PZU Zrówn.'!$B$2:$E$74</definedName>
    <definedName name="_xlnm.Print_Area" localSheetId="125">'Quercus A'!$B$2:$E$74</definedName>
    <definedName name="_xlnm.Print_Area" localSheetId="132">'Schroder ISF FME'!$B$2:$E$74</definedName>
    <definedName name="_xlnm.Print_Area" localSheetId="134">'Schroder ISF GCHI'!$B$2:$E$74</definedName>
    <definedName name="_xlnm.Print_Area" localSheetId="133">'Schroder ISF GDG'!$B$2:$E$74</definedName>
    <definedName name="_xlnm.Print_Area" localSheetId="135">'Skarbiec Kons.'!$B$2:$E$74</definedName>
    <definedName name="_xlnm.Print_Area" localSheetId="136">'Skarbiec L'!$B$2:$E$74</definedName>
    <definedName name="_xlnm.Print_Area" localSheetId="143">'Templeton GTR'!$B$2:$E$74</definedName>
    <definedName name="_xlnm.Print_Area" localSheetId="144">'Templeton LA'!$B$2:$E$74</definedName>
    <definedName name="_xlnm.Print_Area" localSheetId="28">'Zaabezpieczony - Europy Wsch.'!$B$2:$E$73</definedName>
    <definedName name="_xlnm.Print_Area" localSheetId="27">'Zabezpieczony - Dalekiego Wsch.'!$B$2:$E$73</definedName>
  </definedNames>
  <calcPr calcId="162913"/>
</workbook>
</file>

<file path=xl/calcChain.xml><?xml version="1.0" encoding="utf-8"?>
<calcChain xmlns="http://schemas.openxmlformats.org/spreadsheetml/2006/main">
  <c r="E37" i="63" l="1"/>
  <c r="E32" i="63" s="1"/>
  <c r="E27" i="63" s="1"/>
  <c r="E32" i="191"/>
  <c r="E33" i="62"/>
  <c r="E33" i="41"/>
  <c r="E33" i="228"/>
  <c r="E32" i="228" s="1"/>
  <c r="E27" i="228" s="1"/>
  <c r="E27" i="105"/>
  <c r="E32" i="105"/>
  <c r="E32" i="26"/>
  <c r="E28" i="110"/>
  <c r="E27" i="64"/>
  <c r="E28" i="64"/>
  <c r="E32" i="40"/>
  <c r="E28" i="177"/>
  <c r="E32" i="187"/>
  <c r="E32" i="216"/>
  <c r="E32" i="175"/>
  <c r="E27" i="175" s="1"/>
  <c r="E27" i="140"/>
  <c r="E32" i="135"/>
  <c r="E27" i="132"/>
  <c r="E28" i="132"/>
  <c r="E28" i="146"/>
  <c r="E27" i="146" s="1"/>
  <c r="E27" i="101"/>
  <c r="E32" i="101"/>
  <c r="E27" i="99"/>
  <c r="E32" i="39"/>
  <c r="E32" i="130"/>
  <c r="E32" i="174"/>
  <c r="E27" i="173"/>
  <c r="E28" i="171"/>
  <c r="E32" i="214"/>
  <c r="E32" i="166"/>
  <c r="E27" i="103"/>
  <c r="E27" i="85"/>
  <c r="E28" i="128"/>
  <c r="E32" i="167"/>
  <c r="E27" i="114"/>
  <c r="E32" i="114"/>
  <c r="E27" i="137" l="1"/>
  <c r="E27" i="136"/>
  <c r="E27" i="138"/>
  <c r="E27" i="92"/>
  <c r="E32" i="92"/>
  <c r="E27" i="115"/>
  <c r="E32" i="161"/>
  <c r="E28" i="36"/>
  <c r="E33" i="75"/>
  <c r="E33" i="74"/>
  <c r="E33" i="73"/>
  <c r="E33" i="72"/>
  <c r="E27" i="27"/>
  <c r="E37" i="47"/>
  <c r="E28" i="153"/>
  <c r="E32" i="224"/>
  <c r="E32" i="148"/>
  <c r="E27" i="149"/>
  <c r="E32" i="24"/>
  <c r="E27" i="24" s="1"/>
  <c r="E32" i="202"/>
  <c r="E27" i="43"/>
  <c r="E28" i="55"/>
  <c r="E28" i="57"/>
  <c r="E27" i="124"/>
  <c r="E32" i="124"/>
  <c r="E27" i="34"/>
  <c r="E32" i="123"/>
  <c r="E27" i="123" s="1"/>
  <c r="E27" i="106"/>
  <c r="E27" i="211"/>
  <c r="E32" i="211"/>
  <c r="E32" i="151"/>
  <c r="E27" i="151" s="1"/>
  <c r="E32" i="96"/>
  <c r="E27" i="96" s="1"/>
  <c r="E28" i="196" l="1"/>
  <c r="E27" i="83"/>
  <c r="E32" i="83"/>
  <c r="E27" i="30"/>
  <c r="E32" i="30"/>
  <c r="E32" i="29"/>
  <c r="E27" i="29" s="1"/>
  <c r="E32" i="49"/>
  <c r="E27" i="49" s="1"/>
  <c r="E27" i="22"/>
  <c r="E28" i="22"/>
  <c r="E32" i="28"/>
  <c r="E27" i="28" s="1"/>
  <c r="E27" i="60"/>
  <c r="E32" i="60"/>
  <c r="E28" i="8"/>
  <c r="E28" i="95"/>
  <c r="E32" i="217"/>
  <c r="E27" i="217" s="1"/>
  <c r="E27" i="199"/>
  <c r="E32" i="199"/>
  <c r="E32" i="121"/>
  <c r="E27" i="121" s="1"/>
  <c r="E32" i="79"/>
  <c r="E27" i="79" s="1"/>
  <c r="E33" i="1"/>
  <c r="E32" i="1" s="1"/>
  <c r="E27" i="1" s="1"/>
  <c r="E32" i="62" l="1"/>
  <c r="E27" i="62" s="1"/>
  <c r="E33" i="20"/>
  <c r="E32" i="20" s="1"/>
  <c r="E27" i="20" s="1"/>
  <c r="E32" i="110"/>
  <c r="E27" i="110" s="1"/>
  <c r="E33" i="110"/>
  <c r="E32" i="41"/>
  <c r="E27" i="41" s="1"/>
  <c r="E33" i="177"/>
  <c r="E32" i="177" s="1"/>
  <c r="E27" i="177" s="1"/>
  <c r="E33" i="109"/>
  <c r="E32" i="109" s="1"/>
  <c r="E27" i="109" s="1"/>
  <c r="E33" i="133"/>
  <c r="E32" i="133" s="1"/>
  <c r="E27" i="133" s="1"/>
  <c r="E33" i="143"/>
  <c r="E32" i="143" s="1"/>
  <c r="E27" i="143" s="1"/>
  <c r="E32" i="25" l="1"/>
  <c r="E27" i="25" s="1"/>
  <c r="E33" i="25"/>
  <c r="E32" i="23"/>
  <c r="E27" i="23" s="1"/>
  <c r="E33" i="23"/>
  <c r="E33" i="38"/>
  <c r="E32" i="38" s="1"/>
  <c r="E27" i="38" s="1"/>
  <c r="E32" i="171"/>
  <c r="E27" i="171" s="1"/>
  <c r="E33" i="171"/>
  <c r="E33" i="128"/>
  <c r="E32" i="128" s="1"/>
  <c r="E27" i="128" s="1"/>
  <c r="E27" i="46"/>
  <c r="E33" i="169"/>
  <c r="E32" i="169" s="1"/>
  <c r="E27" i="169" s="1"/>
  <c r="E33" i="193"/>
  <c r="E32" i="193" s="1"/>
  <c r="E27" i="193" s="1"/>
  <c r="E32" i="76"/>
  <c r="E27" i="76" s="1"/>
  <c r="E33" i="76"/>
  <c r="E33" i="90"/>
  <c r="E32" i="90" s="1"/>
  <c r="E27" i="90" s="1"/>
  <c r="E33" i="37"/>
  <c r="E32" i="37" s="1"/>
  <c r="E27" i="37" s="1"/>
  <c r="E33" i="36"/>
  <c r="E32" i="36" s="1"/>
  <c r="E27" i="36" s="1"/>
  <c r="E33" i="77"/>
  <c r="E32" i="77" s="1"/>
  <c r="E27" i="77" s="1"/>
  <c r="E32" i="75" l="1"/>
  <c r="E27" i="75" s="1"/>
  <c r="E32" i="74"/>
  <c r="E27" i="74" s="1"/>
  <c r="E32" i="73"/>
  <c r="E27" i="73" s="1"/>
  <c r="E32" i="72"/>
  <c r="E27" i="72" s="1"/>
  <c r="E32" i="71"/>
  <c r="E27" i="71" s="1"/>
  <c r="E33" i="71"/>
  <c r="E33" i="47"/>
  <c r="E32" i="47" s="1"/>
  <c r="E27" i="47" s="1"/>
  <c r="E32" i="153"/>
  <c r="E27" i="153" s="1"/>
  <c r="E33" i="153"/>
  <c r="E33" i="35"/>
  <c r="E32" i="35" s="1"/>
  <c r="E27" i="35" s="1"/>
  <c r="E33" i="186"/>
  <c r="E32" i="186" s="1"/>
  <c r="E27" i="186" s="1"/>
  <c r="E33" i="189" l="1"/>
  <c r="E32" i="189" s="1"/>
  <c r="E27" i="189" s="1"/>
  <c r="E32" i="55"/>
  <c r="E27" i="55" s="1"/>
  <c r="E33" i="55"/>
  <c r="E32" i="57"/>
  <c r="E27" i="57" s="1"/>
  <c r="E33" i="57"/>
  <c r="E33" i="33"/>
  <c r="E32" i="33" s="1"/>
  <c r="E27" i="33" s="1"/>
  <c r="E32" i="210"/>
  <c r="E27" i="210" s="1"/>
  <c r="E33" i="210"/>
  <c r="E33" i="209"/>
  <c r="E32" i="209" s="1"/>
  <c r="E27" i="209" s="1"/>
  <c r="E33" i="196"/>
  <c r="E32" i="196" s="1"/>
  <c r="E27" i="196" s="1"/>
  <c r="E33" i="48"/>
  <c r="E32" i="48" s="1"/>
  <c r="E27" i="48" s="1"/>
  <c r="E11" i="213" l="1"/>
  <c r="E21" i="213" s="1"/>
  <c r="E33" i="84" l="1"/>
  <c r="E32" i="84" s="1"/>
  <c r="E27" i="84" s="1"/>
  <c r="D64" i="84"/>
  <c r="E12" i="84"/>
  <c r="E32" i="61"/>
  <c r="E27" i="61" s="1"/>
  <c r="E33" i="61"/>
  <c r="D64" i="61"/>
  <c r="E12" i="61"/>
  <c r="E32" i="58"/>
  <c r="E27" i="58" s="1"/>
  <c r="E33" i="58"/>
  <c r="D64" i="58"/>
  <c r="E12" i="58"/>
  <c r="E33" i="13"/>
  <c r="E32" i="13" s="1"/>
  <c r="E27" i="13" s="1"/>
  <c r="E32" i="9" l="1"/>
  <c r="E27" i="9" s="1"/>
  <c r="E33" i="9"/>
  <c r="D64" i="9"/>
  <c r="E12" i="9"/>
  <c r="E32" i="8"/>
  <c r="E27" i="8" s="1"/>
  <c r="E33" i="8"/>
  <c r="E32" i="7"/>
  <c r="E27" i="7" s="1"/>
  <c r="E33" i="7"/>
  <c r="D64" i="7"/>
  <c r="E12" i="7"/>
  <c r="E32" i="6"/>
  <c r="E27" i="6" s="1"/>
  <c r="E33" i="6"/>
  <c r="D64" i="6"/>
  <c r="E12" i="6"/>
  <c r="E33" i="95"/>
  <c r="E32" i="95" s="1"/>
  <c r="E27" i="95" s="1"/>
  <c r="D64" i="95"/>
  <c r="E12" i="95"/>
  <c r="E33" i="93"/>
  <c r="E32" i="93" s="1"/>
  <c r="E27" i="93" s="1"/>
  <c r="D64" i="93"/>
  <c r="E12" i="93"/>
  <c r="E32" i="94"/>
  <c r="E27" i="94" s="1"/>
  <c r="E33" i="94"/>
  <c r="D64" i="94"/>
  <c r="E12" i="94"/>
  <c r="E32" i="53"/>
  <c r="E27" i="53" s="1"/>
  <c r="E33" i="53"/>
  <c r="D64" i="53"/>
  <c r="E12" i="53"/>
  <c r="E33" i="67"/>
  <c r="E32" i="67" s="1"/>
  <c r="E27" i="67" s="1"/>
  <c r="D64" i="67"/>
  <c r="E12" i="67"/>
  <c r="E33" i="69"/>
  <c r="E32" i="69" s="1"/>
  <c r="E27" i="69" s="1"/>
  <c r="D64" i="69"/>
  <c r="E12" i="69"/>
  <c r="E32" i="120"/>
  <c r="E27" i="120" s="1"/>
  <c r="E33" i="120"/>
  <c r="D64" i="120"/>
  <c r="E12" i="120"/>
  <c r="E33" i="122" l="1"/>
  <c r="E32" i="122" s="1"/>
  <c r="E27" i="122" s="1"/>
  <c r="D64" i="122"/>
  <c r="E12" i="122"/>
  <c r="E33" i="78"/>
  <c r="E32" i="78" s="1"/>
  <c r="E27" i="78" s="1"/>
  <c r="D64" i="78"/>
  <c r="E12" i="78"/>
  <c r="E33" i="81"/>
  <c r="E32" i="81" s="1"/>
  <c r="E27" i="81" s="1"/>
  <c r="D64" i="81"/>
  <c r="E12" i="81"/>
  <c r="E33" i="17"/>
  <c r="E32" i="17" s="1"/>
  <c r="E27" i="17" s="1"/>
  <c r="D64" i="17"/>
  <c r="E12" i="17"/>
  <c r="E32" i="16"/>
  <c r="E27" i="16" s="1"/>
  <c r="E33" i="16"/>
  <c r="D64" i="16"/>
  <c r="E12" i="16"/>
  <c r="E33" i="11"/>
  <c r="E32" i="11" s="1"/>
  <c r="E27" i="11" s="1"/>
  <c r="D64" i="11"/>
  <c r="E12" i="11"/>
  <c r="E33" i="10"/>
  <c r="E32" i="10" s="1"/>
  <c r="E27" i="10" s="1"/>
  <c r="D64" i="10"/>
  <c r="E12" i="10"/>
  <c r="E32" i="5"/>
  <c r="E27" i="5" s="1"/>
  <c r="E33" i="5"/>
  <c r="D64" i="5"/>
  <c r="E12" i="5"/>
  <c r="E32" i="4"/>
  <c r="E27" i="4" s="1"/>
  <c r="E33" i="4"/>
  <c r="D64" i="4"/>
  <c r="E12" i="4"/>
  <c r="D64" i="194"/>
  <c r="E33" i="194"/>
  <c r="E32" i="194" s="1"/>
  <c r="E27" i="194" s="1"/>
  <c r="E12" i="194"/>
  <c r="D58" i="1"/>
  <c r="D59" i="1"/>
  <c r="E12" i="1"/>
  <c r="E12" i="60" l="1"/>
  <c r="E12" i="13"/>
  <c r="E12" i="8"/>
  <c r="E12" i="217" l="1"/>
  <c r="E12" i="199"/>
  <c r="E12" i="121" l="1"/>
  <c r="E12" i="79"/>
  <c r="E14" i="84" l="1"/>
  <c r="E14" i="60"/>
  <c r="E14" i="61"/>
  <c r="E14" i="58"/>
  <c r="E14" i="13"/>
  <c r="D12" i="199" l="1"/>
  <c r="D11" i="199"/>
  <c r="D21" i="199" s="1"/>
  <c r="D17" i="4"/>
  <c r="D14" i="4"/>
  <c r="D12" i="4"/>
  <c r="D11" i="4"/>
  <c r="D21" i="4" s="1"/>
  <c r="D17" i="194"/>
  <c r="D14" i="194"/>
  <c r="D11" i="194" s="1"/>
  <c r="D21" i="194" s="1"/>
  <c r="D12" i="194"/>
  <c r="D71" i="6" l="1"/>
  <c r="D18" i="80" l="1"/>
  <c r="D23" i="80" s="1"/>
  <c r="D72" i="229" l="1"/>
  <c r="D64" i="229" l="1"/>
  <c r="D58" i="229" s="1"/>
  <c r="D74" i="229" l="1"/>
  <c r="D75" i="229" s="1"/>
  <c r="E74" i="229" l="1"/>
  <c r="E75" i="229" s="1"/>
  <c r="E26" i="35" l="1"/>
  <c r="E41" i="35" s="1"/>
  <c r="E11" i="35"/>
  <c r="E21" i="35" s="1"/>
  <c r="D71" i="1" l="1"/>
  <c r="E17" i="194" l="1"/>
  <c r="D73" i="194" s="1"/>
  <c r="E17" i="4"/>
  <c r="D73" i="4" s="1"/>
  <c r="E17" i="5"/>
  <c r="D73" i="5" s="1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1"/>
  <c r="D73" i="1" s="1"/>
  <c r="E14" i="194"/>
  <c r="E11" i="194" s="1"/>
  <c r="E14" i="4"/>
  <c r="E11" i="4" s="1"/>
  <c r="E14" i="5"/>
  <c r="E11" i="5" s="1"/>
  <c r="E14" i="10"/>
  <c r="E11" i="10" s="1"/>
  <c r="E14" i="11"/>
  <c r="E11" i="11" s="1"/>
  <c r="E21" i="11" s="1"/>
  <c r="E14" i="16"/>
  <c r="E11" i="16" s="1"/>
  <c r="E21" i="16" s="1"/>
  <c r="E14" i="17"/>
  <c r="E11" i="17" s="1"/>
  <c r="E14" i="81"/>
  <c r="E11" i="81" s="1"/>
  <c r="E14" i="78"/>
  <c r="E11" i="78" s="1"/>
  <c r="E14" i="79"/>
  <c r="E11" i="79" s="1"/>
  <c r="E21" i="79" s="1"/>
  <c r="E14" i="122"/>
  <c r="E11" i="122" s="1"/>
  <c r="E14" i="121"/>
  <c r="E11" i="121" s="1"/>
  <c r="E14" i="120"/>
  <c r="E14" i="69"/>
  <c r="E11" i="69" s="1"/>
  <c r="E21" i="69" s="1"/>
  <c r="E14" i="67"/>
  <c r="E11" i="61"/>
  <c r="E14" i="1"/>
  <c r="E11" i="1" s="1"/>
  <c r="E21" i="1" s="1"/>
  <c r="E11" i="120"/>
  <c r="E21" i="120" s="1"/>
  <c r="E11" i="67"/>
  <c r="E11" i="53"/>
  <c r="E11" i="94"/>
  <c r="E11" i="93"/>
  <c r="E11" i="199"/>
  <c r="E21" i="199" s="1"/>
  <c r="E11" i="217"/>
  <c r="E21" i="217" s="1"/>
  <c r="E11" i="95"/>
  <c r="E11" i="6"/>
  <c r="E11" i="7"/>
  <c r="E21" i="7" s="1"/>
  <c r="E11" i="8"/>
  <c r="E11" i="9"/>
  <c r="E11" i="13"/>
  <c r="E11" i="58"/>
  <c r="E11" i="60"/>
  <c r="E11" i="84"/>
  <c r="E11" i="28"/>
  <c r="E21" i="28" s="1"/>
  <c r="E11" i="22"/>
  <c r="E21" i="22" s="1"/>
  <c r="E11" i="49"/>
  <c r="E21" i="49" s="1"/>
  <c r="E11" i="29"/>
  <c r="E21" i="29" s="1"/>
  <c r="E11" i="30"/>
  <c r="E21" i="30" s="1"/>
  <c r="E11" i="48"/>
  <c r="E21" i="48" s="1"/>
  <c r="E11" i="83"/>
  <c r="E21" i="83" s="1"/>
  <c r="E11" i="42"/>
  <c r="E21" i="42" s="1"/>
  <c r="E11" i="188"/>
  <c r="E21" i="188" s="1"/>
  <c r="E11" i="195"/>
  <c r="E21" i="195" s="1"/>
  <c r="E11" i="196"/>
  <c r="E21" i="196" s="1"/>
  <c r="E11" i="209"/>
  <c r="E21" i="209" s="1"/>
  <c r="E11" i="210"/>
  <c r="E21" i="210" s="1"/>
  <c r="E11" i="197"/>
  <c r="E21" i="197" s="1"/>
  <c r="E11" i="112"/>
  <c r="E21" i="112" s="1"/>
  <c r="E11" i="96"/>
  <c r="E21" i="96" s="1"/>
  <c r="E11" i="151"/>
  <c r="E21" i="151" s="1"/>
  <c r="E11" i="152"/>
  <c r="E21" i="152" s="1"/>
  <c r="E11" i="211"/>
  <c r="E21" i="211" s="1"/>
  <c r="E11" i="218"/>
  <c r="E21" i="218" s="1"/>
  <c r="E11" i="106"/>
  <c r="E21" i="106" s="1"/>
  <c r="E11" i="123"/>
  <c r="E21" i="123" s="1"/>
  <c r="E11" i="33"/>
  <c r="E21" i="33" s="1"/>
  <c r="E11" i="34"/>
  <c r="E21" i="34" s="1"/>
  <c r="E11" i="124"/>
  <c r="E21" i="124" s="1"/>
  <c r="E11" i="57"/>
  <c r="E21" i="57" s="1"/>
  <c r="E11" i="55"/>
  <c r="E21" i="55" s="1"/>
  <c r="E11" i="43"/>
  <c r="E21" i="43" s="1"/>
  <c r="E11" i="189"/>
  <c r="E21" i="189" s="1"/>
  <c r="E11" i="212"/>
  <c r="E21" i="212" s="1"/>
  <c r="E11" i="202"/>
  <c r="E21" i="202" s="1"/>
  <c r="E11" i="201"/>
  <c r="E21" i="201" s="1"/>
  <c r="E11" i="24"/>
  <c r="E21" i="24" s="1"/>
  <c r="E11" i="149"/>
  <c r="E21" i="149" s="1"/>
  <c r="E11" i="148"/>
  <c r="E21" i="148" s="1"/>
  <c r="E11" i="224"/>
  <c r="E21" i="224" s="1"/>
  <c r="E11" i="186"/>
  <c r="E21" i="186" s="1"/>
  <c r="E11" i="153"/>
  <c r="E21" i="153" s="1"/>
  <c r="E11" i="47"/>
  <c r="E21" i="47" s="1"/>
  <c r="E11" i="27"/>
  <c r="E21" i="27" s="1"/>
  <c r="E11" i="70"/>
  <c r="E21" i="70" s="1"/>
  <c r="E11" i="71"/>
  <c r="E21" i="71" s="1"/>
  <c r="E11" i="72"/>
  <c r="E21" i="72" s="1"/>
  <c r="E11" i="73"/>
  <c r="E21" i="73" s="1"/>
  <c r="E11" i="74"/>
  <c r="E21" i="74" s="1"/>
  <c r="E11" i="75"/>
  <c r="E21" i="75" s="1"/>
  <c r="E11" i="77"/>
  <c r="E21" i="77" s="1"/>
  <c r="E11" i="36"/>
  <c r="E21" i="36" s="1"/>
  <c r="E11" i="37"/>
  <c r="E21" i="37" s="1"/>
  <c r="E11" i="161"/>
  <c r="E21" i="161" s="1"/>
  <c r="E11" i="115"/>
  <c r="E21" i="115" s="1"/>
  <c r="E11" i="92"/>
  <c r="E21" i="92" s="1"/>
  <c r="E11" i="90"/>
  <c r="E21" i="90" s="1"/>
  <c r="E11" i="76"/>
  <c r="E21" i="76" s="1"/>
  <c r="E11" i="138"/>
  <c r="E21" i="138" s="1"/>
  <c r="E11" i="136"/>
  <c r="E21" i="136" s="1"/>
  <c r="E11" i="137"/>
  <c r="E21" i="137" s="1"/>
  <c r="E11" i="163"/>
  <c r="E21" i="163" s="1"/>
  <c r="E11" i="164"/>
  <c r="E21" i="164" s="1"/>
  <c r="E11" i="114"/>
  <c r="E21" i="11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65"/>
  <c r="E21" i="165" s="1"/>
  <c r="E11" i="166"/>
  <c r="E21" i="166" s="1"/>
  <c r="E11" i="214"/>
  <c r="E21" i="214" s="1"/>
  <c r="E11" i="220"/>
  <c r="E21" i="220" s="1"/>
  <c r="E11" i="171"/>
  <c r="E21" i="171" s="1"/>
  <c r="E11" i="38"/>
  <c r="E21" i="38" s="1"/>
  <c r="E11" i="23"/>
  <c r="E21" i="23" s="1"/>
  <c r="E11" i="25"/>
  <c r="E21" i="25" s="1"/>
  <c r="E11" i="173"/>
  <c r="E21" i="173" s="1"/>
  <c r="E11" i="174"/>
  <c r="E21" i="174" s="1"/>
  <c r="E11" i="130"/>
  <c r="E21" i="130" s="1"/>
  <c r="E11" i="39"/>
  <c r="E21" i="39" s="1"/>
  <c r="E11" i="100"/>
  <c r="E21" i="100" s="1"/>
  <c r="E11" i="99"/>
  <c r="E21" i="99" s="1"/>
  <c r="E11" i="205"/>
  <c r="E21" i="205" s="1"/>
  <c r="E11" i="101"/>
  <c r="E21" i="101" s="1"/>
  <c r="E11" i="143"/>
  <c r="E21" i="143" s="1"/>
  <c r="E11" i="144"/>
  <c r="E21" i="144" s="1"/>
  <c r="E11" i="142"/>
  <c r="E21" i="142" s="1"/>
  <c r="E11" i="147"/>
  <c r="E21" i="147" s="1"/>
  <c r="E11" i="179"/>
  <c r="E21" i="179" s="1"/>
  <c r="E11" i="146"/>
  <c r="E21" i="146" s="1"/>
  <c r="E11" i="133"/>
  <c r="E21" i="133" s="1"/>
  <c r="E11" i="132"/>
  <c r="E21" i="132" s="1"/>
  <c r="E11" i="135"/>
  <c r="E21" i="135" s="1"/>
  <c r="E11" i="113"/>
  <c r="E21" i="113" s="1"/>
  <c r="E11" i="140"/>
  <c r="E21" i="140" s="1"/>
  <c r="E11" i="227"/>
  <c r="E21" i="227" s="1"/>
  <c r="E11" i="175"/>
  <c r="E21" i="175" s="1"/>
  <c r="E11" i="216"/>
  <c r="E21" i="216" s="1"/>
  <c r="E11" i="159"/>
  <c r="E21" i="159" s="1"/>
  <c r="E11" i="109"/>
  <c r="E21" i="109" s="1"/>
  <c r="E11" i="108"/>
  <c r="E21" i="108" s="1"/>
  <c r="E11" i="187"/>
  <c r="E21" i="187" s="1"/>
  <c r="E11" i="177"/>
  <c r="E21" i="177" s="1"/>
  <c r="E11" i="41"/>
  <c r="E21" i="41" s="1"/>
  <c r="E11" i="40"/>
  <c r="E21" i="40" s="1"/>
  <c r="E11" i="64"/>
  <c r="E21" i="64" s="1"/>
  <c r="E11" i="110"/>
  <c r="E21" i="110" s="1"/>
  <c r="E11" i="20"/>
  <c r="E21" i="20" s="1"/>
  <c r="E11" i="62"/>
  <c r="E21" i="62" s="1"/>
  <c r="E11" i="26"/>
  <c r="E21" i="26" s="1"/>
  <c r="E11" i="105"/>
  <c r="E21" i="105" s="1"/>
  <c r="E11" i="63"/>
  <c r="E21" i="63" s="1"/>
  <c r="E11" i="191"/>
  <c r="E21" i="191" s="1"/>
  <c r="E11" i="228"/>
  <c r="E21" i="228" s="1"/>
  <c r="E21" i="61" l="1"/>
  <c r="E21" i="58"/>
  <c r="E21" i="8"/>
  <c r="E21" i="84"/>
  <c r="E21" i="9"/>
  <c r="E21" i="6"/>
  <c r="E21" i="95"/>
  <c r="E21" i="67"/>
  <c r="E21" i="121"/>
  <c r="E77" i="121" s="1"/>
  <c r="E21" i="122"/>
  <c r="E21" i="17"/>
  <c r="E21" i="4"/>
  <c r="E62" i="121"/>
  <c r="E21" i="60"/>
  <c r="E21" i="13"/>
  <c r="E21" i="94"/>
  <c r="E21" i="53"/>
  <c r="E21" i="10"/>
  <c r="E21" i="194"/>
  <c r="E21" i="81"/>
  <c r="E21" i="93"/>
  <c r="E21" i="78"/>
  <c r="E21" i="5"/>
  <c r="E76" i="121" l="1"/>
  <c r="E69" i="121"/>
  <c r="E26" i="194" l="1"/>
  <c r="E41" i="194" s="1"/>
  <c r="E26" i="4"/>
  <c r="E41" i="4" s="1"/>
  <c r="E26" i="5"/>
  <c r="E41" i="5" s="1"/>
  <c r="E26" i="10"/>
  <c r="E41" i="10" s="1"/>
  <c r="E26" i="11"/>
  <c r="E41" i="11" s="1"/>
  <c r="E26" i="16"/>
  <c r="E41" i="16" s="1"/>
  <c r="E26" i="17"/>
  <c r="E41" i="17" s="1"/>
  <c r="E26" i="81"/>
  <c r="E41" i="81" s="1"/>
  <c r="E26" i="78"/>
  <c r="E41" i="78" s="1"/>
  <c r="E26" i="79"/>
  <c r="E41" i="79" s="1"/>
  <c r="E26" i="122"/>
  <c r="E41" i="122" s="1"/>
  <c r="E26" i="121"/>
  <c r="E41" i="121" s="1"/>
  <c r="E26" i="120"/>
  <c r="E41" i="120" s="1"/>
  <c r="E26" i="69"/>
  <c r="E41" i="69" s="1"/>
  <c r="E26" i="67"/>
  <c r="E41" i="67" s="1"/>
  <c r="E26" i="53"/>
  <c r="E41" i="53" s="1"/>
  <c r="E26" i="94"/>
  <c r="E41" i="94" s="1"/>
  <c r="E26" i="93"/>
  <c r="E41" i="93" s="1"/>
  <c r="E26" i="199"/>
  <c r="E41" i="199" s="1"/>
  <c r="E26" i="217"/>
  <c r="E41" i="217" s="1"/>
  <c r="E26" i="95"/>
  <c r="E41" i="95" s="1"/>
  <c r="E26" i="6"/>
  <c r="E41" i="6" s="1"/>
  <c r="E26" i="7"/>
  <c r="E41" i="7" s="1"/>
  <c r="E26" i="8"/>
  <c r="E41" i="8" s="1"/>
  <c r="E26" i="9"/>
  <c r="E41" i="9" s="1"/>
  <c r="E26" i="13"/>
  <c r="E41" i="13" s="1"/>
  <c r="E26" i="58"/>
  <c r="E41" i="58" s="1"/>
  <c r="E26" i="61"/>
  <c r="E41" i="61" s="1"/>
  <c r="E26" i="60"/>
  <c r="E41" i="60" s="1"/>
  <c r="E26" i="84"/>
  <c r="E41" i="84" s="1"/>
  <c r="E26" i="28"/>
  <c r="E41" i="28" s="1"/>
  <c r="E26" i="22"/>
  <c r="E41" i="22" s="1"/>
  <c r="E26" i="49"/>
  <c r="E41" i="49" s="1"/>
  <c r="E26" i="29"/>
  <c r="E41" i="29" s="1"/>
  <c r="E26" i="30"/>
  <c r="E41" i="30" s="1"/>
  <c r="E26" i="48"/>
  <c r="E41" i="48" s="1"/>
  <c r="E26" i="83"/>
  <c r="E41" i="83" s="1"/>
  <c r="E26" i="42"/>
  <c r="E41" i="42" s="1"/>
  <c r="E26" i="188"/>
  <c r="E41" i="188" s="1"/>
  <c r="E26" i="195"/>
  <c r="E41" i="195" s="1"/>
  <c r="E26" i="196"/>
  <c r="E41" i="196" s="1"/>
  <c r="E26" i="209"/>
  <c r="E41" i="209" s="1"/>
  <c r="E26" i="210"/>
  <c r="E41" i="210" s="1"/>
  <c r="E26" i="197"/>
  <c r="E41" i="197" s="1"/>
  <c r="E26" i="112"/>
  <c r="E41" i="112" s="1"/>
  <c r="E26" i="96"/>
  <c r="E41" i="96" s="1"/>
  <c r="E26" i="151"/>
  <c r="E41" i="151" s="1"/>
  <c r="E26" i="152"/>
  <c r="E41" i="152" s="1"/>
  <c r="E26" i="211"/>
  <c r="E41" i="211" s="1"/>
  <c r="E26" i="218"/>
  <c r="E41" i="218" s="1"/>
  <c r="E26" i="106"/>
  <c r="E41" i="106" s="1"/>
  <c r="E26" i="123"/>
  <c r="E41" i="123" s="1"/>
  <c r="E26" i="33"/>
  <c r="E41" i="33" s="1"/>
  <c r="E26" i="34"/>
  <c r="E41" i="34" s="1"/>
  <c r="E26" i="124"/>
  <c r="E41" i="124" s="1"/>
  <c r="E26" i="57"/>
  <c r="E41" i="57" s="1"/>
  <c r="E26" i="55"/>
  <c r="E41" i="55" s="1"/>
  <c r="E26" i="43"/>
  <c r="E41" i="43" s="1"/>
  <c r="E26" i="189"/>
  <c r="E41" i="189" s="1"/>
  <c r="E26" i="212"/>
  <c r="E41" i="212" s="1"/>
  <c r="E26" i="202"/>
  <c r="E41" i="202" s="1"/>
  <c r="E26" i="201"/>
  <c r="E41" i="201" s="1"/>
  <c r="E26" i="24"/>
  <c r="E41" i="24" s="1"/>
  <c r="E26" i="149"/>
  <c r="E41" i="149" s="1"/>
  <c r="E26" i="148"/>
  <c r="E41" i="148" s="1"/>
  <c r="E26" i="224"/>
  <c r="E41" i="224" s="1"/>
  <c r="E26" i="186"/>
  <c r="E41" i="186" s="1"/>
  <c r="E26" i="153"/>
  <c r="E41" i="153" s="1"/>
  <c r="E26" i="47"/>
  <c r="E41" i="47" s="1"/>
  <c r="E26" i="27"/>
  <c r="E41" i="27" s="1"/>
  <c r="E26" i="70"/>
  <c r="E41" i="70" s="1"/>
  <c r="E26" i="71"/>
  <c r="E41" i="71" s="1"/>
  <c r="E26" i="72"/>
  <c r="E41" i="72" s="1"/>
  <c r="E26" i="73"/>
  <c r="E41" i="73" s="1"/>
  <c r="E26" i="74"/>
  <c r="E41" i="74" s="1"/>
  <c r="E26" i="75"/>
  <c r="E41" i="75" s="1"/>
  <c r="E26" i="77"/>
  <c r="E41" i="77" s="1"/>
  <c r="E26" i="36"/>
  <c r="E41" i="36" s="1"/>
  <c r="E26" i="37"/>
  <c r="E41" i="37" s="1"/>
  <c r="E26" i="161"/>
  <c r="E41" i="161" s="1"/>
  <c r="E26" i="115"/>
  <c r="E41" i="115" s="1"/>
  <c r="E26" i="92"/>
  <c r="E41" i="92" s="1"/>
  <c r="E26" i="90"/>
  <c r="E41" i="90" s="1"/>
  <c r="E26" i="76"/>
  <c r="E41" i="76" s="1"/>
  <c r="E26" i="138"/>
  <c r="E41" i="138" s="1"/>
  <c r="E26" i="136"/>
  <c r="E41" i="136" s="1"/>
  <c r="E26" i="137"/>
  <c r="E41" i="137" s="1"/>
  <c r="E26" i="163"/>
  <c r="E41" i="163" s="1"/>
  <c r="E26" i="213"/>
  <c r="E41" i="213" s="1"/>
  <c r="E26" i="164"/>
  <c r="E41" i="164" s="1"/>
  <c r="E26" i="114"/>
  <c r="E41" i="114" s="1"/>
  <c r="E26" i="193"/>
  <c r="E41" i="193" s="1"/>
  <c r="E26" i="88"/>
  <c r="E41" i="88" s="1"/>
  <c r="E26" i="167"/>
  <c r="E41" i="167" s="1"/>
  <c r="E26" i="129"/>
  <c r="E41" i="129" s="1"/>
  <c r="E26" i="168"/>
  <c r="E41" i="168" s="1"/>
  <c r="E26" i="169"/>
  <c r="E41" i="169" s="1"/>
  <c r="E26" i="46"/>
  <c r="E41" i="46" s="1"/>
  <c r="E26" i="89"/>
  <c r="E41" i="89" s="1"/>
  <c r="E26" i="128"/>
  <c r="E41" i="128" s="1"/>
  <c r="E26" i="85"/>
  <c r="E41" i="85" s="1"/>
  <c r="E26" i="103"/>
  <c r="E41" i="103" s="1"/>
  <c r="E26" i="102"/>
  <c r="E41" i="102" s="1"/>
  <c r="E26" i="104"/>
  <c r="E41" i="104" s="1"/>
  <c r="E26" i="170"/>
  <c r="E41" i="170" s="1"/>
  <c r="E26" i="165"/>
  <c r="E26" i="166"/>
  <c r="E41" i="166" s="1"/>
  <c r="E26" i="214"/>
  <c r="E41" i="214" s="1"/>
  <c r="E26" i="220"/>
  <c r="E41" i="220" s="1"/>
  <c r="E26" i="171"/>
  <c r="E41" i="171" s="1"/>
  <c r="E26" i="38"/>
  <c r="E41" i="38" s="1"/>
  <c r="E26" i="23"/>
  <c r="E41" i="23" s="1"/>
  <c r="E26" i="25"/>
  <c r="E41" i="25" s="1"/>
  <c r="E26" i="173"/>
  <c r="E41" i="173" s="1"/>
  <c r="E26" i="174"/>
  <c r="E41" i="174" s="1"/>
  <c r="E26" i="130"/>
  <c r="E41" i="130" s="1"/>
  <c r="E26" i="39"/>
  <c r="E41" i="39" s="1"/>
  <c r="E26" i="100"/>
  <c r="E41" i="100" s="1"/>
  <c r="E26" i="99"/>
  <c r="E41" i="99" s="1"/>
  <c r="E26" i="205"/>
  <c r="E41" i="205" s="1"/>
  <c r="E26" i="101"/>
  <c r="E41" i="101" s="1"/>
  <c r="E26" i="143"/>
  <c r="E26" i="144"/>
  <c r="E41" i="144" s="1"/>
  <c r="E26" i="142"/>
  <c r="E26" i="147"/>
  <c r="E41" i="147" s="1"/>
  <c r="E26" i="179"/>
  <c r="E41" i="179" s="1"/>
  <c r="E26" i="146"/>
  <c r="E41" i="146" s="1"/>
  <c r="E26" i="133"/>
  <c r="E41" i="133" s="1"/>
  <c r="E26" i="132"/>
  <c r="E41" i="132" s="1"/>
  <c r="E26" i="135"/>
  <c r="E41" i="135" s="1"/>
  <c r="E26" i="113"/>
  <c r="E41" i="113" s="1"/>
  <c r="E26" i="140"/>
  <c r="E41" i="140" s="1"/>
  <c r="E26" i="227"/>
  <c r="E41" i="227" s="1"/>
  <c r="E26" i="175"/>
  <c r="E41" i="175" s="1"/>
  <c r="E26" i="216"/>
  <c r="E41" i="216" s="1"/>
  <c r="E26" i="159"/>
  <c r="E41" i="159" s="1"/>
  <c r="E26" i="109"/>
  <c r="E41" i="109" s="1"/>
  <c r="E26" i="108"/>
  <c r="E41" i="108" s="1"/>
  <c r="E26" i="187"/>
  <c r="E41" i="187" s="1"/>
  <c r="E26" i="177"/>
  <c r="E41" i="177" s="1"/>
  <c r="E26" i="41"/>
  <c r="E41" i="41" s="1"/>
  <c r="E26" i="40"/>
  <c r="E41" i="40" s="1"/>
  <c r="E26" i="64"/>
  <c r="E41" i="64" s="1"/>
  <c r="E26" i="110"/>
  <c r="E41" i="110" s="1"/>
  <c r="E26" i="20"/>
  <c r="E41" i="20" s="1"/>
  <c r="E26" i="62"/>
  <c r="E41" i="62" s="1"/>
  <c r="E26" i="26"/>
  <c r="E41" i="26" s="1"/>
  <c r="E26" i="105"/>
  <c r="E41" i="105" s="1"/>
  <c r="E26" i="63"/>
  <c r="E41" i="63" s="1"/>
  <c r="E26" i="191"/>
  <c r="E41" i="191" s="1"/>
  <c r="E26" i="228"/>
  <c r="E41" i="228" s="1"/>
  <c r="E26" i="1"/>
  <c r="E41" i="1" s="1"/>
  <c r="E18" i="80" l="1"/>
  <c r="E23" i="80" s="1"/>
  <c r="E74" i="228" l="1"/>
  <c r="E75" i="228" s="1"/>
  <c r="D72" i="228"/>
  <c r="E64" i="228"/>
  <c r="D64" i="228"/>
  <c r="D58" i="228" s="1"/>
  <c r="D74" i="228" s="1"/>
  <c r="D75" i="228" s="1"/>
  <c r="D72" i="227"/>
  <c r="D64" i="227" l="1"/>
  <c r="D58" i="227" s="1"/>
  <c r="D74" i="227" l="1"/>
  <c r="D75" i="227" s="1"/>
  <c r="E58" i="227"/>
  <c r="E64" i="227" l="1"/>
  <c r="E74" i="227"/>
  <c r="E75" i="227" s="1"/>
  <c r="D72" i="226" l="1"/>
  <c r="D64" i="226" l="1"/>
  <c r="D58" i="226" s="1"/>
  <c r="D74" i="226" l="1"/>
  <c r="D75" i="226" s="1"/>
  <c r="E74" i="226" l="1"/>
  <c r="E75" i="226" s="1"/>
  <c r="E64" i="226"/>
  <c r="D72" i="224" l="1"/>
  <c r="D64" i="224" l="1"/>
  <c r="D58" i="224" s="1"/>
  <c r="D74" i="224" s="1"/>
  <c r="D76" i="224" s="1"/>
  <c r="E58" i="224" l="1"/>
  <c r="E64" i="224" s="1"/>
  <c r="E74" i="224" l="1"/>
  <c r="E76" i="224" s="1"/>
  <c r="D71" i="84" l="1"/>
  <c r="D72" i="220" l="1"/>
  <c r="D72" i="218"/>
  <c r="D64" i="218" l="1"/>
  <c r="D58" i="218" s="1"/>
  <c r="D74" i="218" s="1"/>
  <c r="D76" i="218" s="1"/>
  <c r="D64" i="220"/>
  <c r="D58" i="220" s="1"/>
  <c r="E58" i="218" l="1"/>
  <c r="E74" i="218" s="1"/>
  <c r="E76" i="218" s="1"/>
  <c r="D74" i="220"/>
  <c r="D75" i="220" s="1"/>
  <c r="E58" i="220"/>
  <c r="E64" i="218"/>
  <c r="E74" i="220" l="1"/>
  <c r="E75" i="220" s="1"/>
  <c r="E64" i="220"/>
  <c r="D71" i="8" l="1"/>
  <c r="D73" i="10" l="1"/>
  <c r="D73" i="11"/>
  <c r="D73" i="17"/>
  <c r="D73" i="69"/>
  <c r="D73" i="7"/>
  <c r="D64" i="48"/>
  <c r="D73" i="48"/>
  <c r="D64" i="196"/>
  <c r="D58" i="196" s="1"/>
  <c r="D73" i="196"/>
  <c r="D64" i="70"/>
  <c r="D73" i="70"/>
  <c r="D64" i="71"/>
  <c r="D58" i="71" s="1"/>
  <c r="D73" i="71"/>
  <c r="D64" i="72"/>
  <c r="D73" i="72"/>
  <c r="D64" i="73"/>
  <c r="D58" i="73" s="1"/>
  <c r="D73" i="73"/>
  <c r="D64" i="74"/>
  <c r="D58" i="74" s="1"/>
  <c r="E58" i="74" s="1"/>
  <c r="E64" i="74" s="1"/>
  <c r="D73" i="74"/>
  <c r="D64" i="55"/>
  <c r="D58" i="55" s="1"/>
  <c r="D73" i="55"/>
  <c r="D64" i="37"/>
  <c r="D73" i="37"/>
  <c r="D64" i="90"/>
  <c r="D58" i="90" s="1"/>
  <c r="D73" i="90"/>
  <c r="D64" i="153"/>
  <c r="D58" i="153" s="1"/>
  <c r="D73" i="153"/>
  <c r="D64" i="23"/>
  <c r="D58" i="23" s="1"/>
  <c r="D73" i="23"/>
  <c r="D64" i="143"/>
  <c r="D58" i="143" s="1"/>
  <c r="D73" i="143"/>
  <c r="D64" i="134"/>
  <c r="D58" i="134" s="1"/>
  <c r="D73" i="134"/>
  <c r="D64" i="177"/>
  <c r="D73" i="177"/>
  <c r="D64" i="110"/>
  <c r="D58" i="110" s="1"/>
  <c r="D73" i="110"/>
  <c r="D64" i="20"/>
  <c r="D73" i="20"/>
  <c r="D73" i="217"/>
  <c r="D72" i="217"/>
  <c r="D71" i="217"/>
  <c r="D71" i="4"/>
  <c r="D71" i="5"/>
  <c r="D71" i="10"/>
  <c r="D71" i="11"/>
  <c r="D71" i="16"/>
  <c r="D71" i="17"/>
  <c r="D71" i="81"/>
  <c r="D71" i="78"/>
  <c r="D71" i="79"/>
  <c r="D71" i="122"/>
  <c r="D71" i="121"/>
  <c r="E71" i="121" s="1"/>
  <c r="D71" i="120"/>
  <c r="D71" i="69"/>
  <c r="D71" i="67"/>
  <c r="E71" i="67" s="1"/>
  <c r="D71" i="53"/>
  <c r="D71" i="94"/>
  <c r="D71" i="93"/>
  <c r="E71" i="93" s="1"/>
  <c r="D71" i="199"/>
  <c r="D71" i="194"/>
  <c r="D72" i="216"/>
  <c r="D72" i="215"/>
  <c r="D72" i="214"/>
  <c r="D72" i="213"/>
  <c r="D72" i="212"/>
  <c r="D72" i="211"/>
  <c r="D72" i="210"/>
  <c r="D72" i="209"/>
  <c r="D72" i="205"/>
  <c r="D72" i="201"/>
  <c r="D72" i="202"/>
  <c r="D58" i="20"/>
  <c r="E58" i="20" s="1"/>
  <c r="E64" i="20" s="1"/>
  <c r="D58" i="177"/>
  <c r="E58" i="177" s="1"/>
  <c r="E64" i="177" s="1"/>
  <c r="D58" i="37"/>
  <c r="D58" i="72"/>
  <c r="D74" i="72" s="1"/>
  <c r="D76" i="72" s="1"/>
  <c r="D58" i="70"/>
  <c r="D58" i="84"/>
  <c r="D73" i="84"/>
  <c r="D58" i="60"/>
  <c r="D73" i="60"/>
  <c r="D58" i="61"/>
  <c r="D73" i="61"/>
  <c r="D58" i="58"/>
  <c r="D73" i="58"/>
  <c r="D58" i="13"/>
  <c r="D73" i="13"/>
  <c r="D73" i="9"/>
  <c r="D58" i="8"/>
  <c r="D73" i="8"/>
  <c r="D58" i="6"/>
  <c r="D73" i="6"/>
  <c r="D71" i="95"/>
  <c r="D58" i="95"/>
  <c r="D72" i="199"/>
  <c r="D58" i="199"/>
  <c r="D73" i="199"/>
  <c r="D72" i="197"/>
  <c r="D72" i="196"/>
  <c r="D72" i="195"/>
  <c r="D73" i="95"/>
  <c r="D58" i="93"/>
  <c r="D58" i="94"/>
  <c r="D73" i="94"/>
  <c r="D58" i="53"/>
  <c r="D73" i="53"/>
  <c r="E73" i="53" s="1"/>
  <c r="D58" i="67"/>
  <c r="D73" i="67"/>
  <c r="D58" i="69"/>
  <c r="D58" i="120"/>
  <c r="D73" i="120"/>
  <c r="D58" i="10"/>
  <c r="D58" i="11"/>
  <c r="D58" i="16"/>
  <c r="D58" i="17"/>
  <c r="D58" i="81"/>
  <c r="D58" i="78"/>
  <c r="D58" i="79"/>
  <c r="D58" i="122"/>
  <c r="D58" i="121"/>
  <c r="D58" i="5"/>
  <c r="D73" i="16"/>
  <c r="D73" i="81"/>
  <c r="D73" i="78"/>
  <c r="D73" i="79"/>
  <c r="D73" i="122"/>
  <c r="D73" i="121"/>
  <c r="D72" i="10"/>
  <c r="D72" i="11"/>
  <c r="D72" i="16"/>
  <c r="D72" i="78"/>
  <c r="D72" i="79"/>
  <c r="D72" i="122"/>
  <c r="D72" i="121"/>
  <c r="D72" i="5"/>
  <c r="D58" i="4"/>
  <c r="D58" i="194"/>
  <c r="D58" i="48"/>
  <c r="D64" i="30"/>
  <c r="D58" i="30" s="1"/>
  <c r="D72" i="191"/>
  <c r="D72" i="63"/>
  <c r="D72" i="105"/>
  <c r="D72" i="26"/>
  <c r="D72" i="62"/>
  <c r="D72" i="20"/>
  <c r="D72" i="110"/>
  <c r="D72" i="64"/>
  <c r="D72" i="40"/>
  <c r="D72" i="41"/>
  <c r="D72" i="177"/>
  <c r="D72" i="187"/>
  <c r="D72" i="108"/>
  <c r="D72" i="109"/>
  <c r="D72" i="159"/>
  <c r="D72" i="175"/>
  <c r="D72" i="140"/>
  <c r="D72" i="113"/>
  <c r="D72" i="134"/>
  <c r="D72" i="135"/>
  <c r="D72" i="132"/>
  <c r="D72" i="133"/>
  <c r="D72" i="146"/>
  <c r="D72" i="179"/>
  <c r="D72" i="147"/>
  <c r="D72" i="142"/>
  <c r="D72" i="144"/>
  <c r="D72" i="143"/>
  <c r="D72" i="101"/>
  <c r="D72" i="99"/>
  <c r="D72" i="100"/>
  <c r="D72" i="39"/>
  <c r="D72" i="130"/>
  <c r="D72" i="174"/>
  <c r="D72" i="173"/>
  <c r="D72" i="25"/>
  <c r="D72" i="23"/>
  <c r="D72" i="38"/>
  <c r="D72" i="171"/>
  <c r="D72" i="166"/>
  <c r="D72" i="165"/>
  <c r="D72" i="170"/>
  <c r="D72" i="104"/>
  <c r="D72" i="102"/>
  <c r="D72" i="103"/>
  <c r="D72" i="85"/>
  <c r="D72" i="128"/>
  <c r="D72" i="89"/>
  <c r="D72" i="46"/>
  <c r="D72" i="169"/>
  <c r="D72" i="168"/>
  <c r="D72" i="129"/>
  <c r="D72" i="167"/>
  <c r="D72" i="88"/>
  <c r="D72" i="193"/>
  <c r="D72" i="114"/>
  <c r="D72" i="164"/>
  <c r="D72" i="163"/>
  <c r="D72" i="137"/>
  <c r="D72" i="136"/>
  <c r="D72" i="138"/>
  <c r="D72" i="76"/>
  <c r="D72" i="90"/>
  <c r="D72" i="92"/>
  <c r="D72" i="115"/>
  <c r="D72" i="161"/>
  <c r="D72" i="37"/>
  <c r="D72" i="36"/>
  <c r="D72" i="77"/>
  <c r="D72" i="75"/>
  <c r="D72" i="74"/>
  <c r="D72" i="73"/>
  <c r="D72" i="72"/>
  <c r="D72" i="71"/>
  <c r="D72" i="27"/>
  <c r="D72" i="47"/>
  <c r="D72" i="153"/>
  <c r="D72" i="35"/>
  <c r="D72" i="186"/>
  <c r="D72" i="148"/>
  <c r="D72" i="149"/>
  <c r="D72" i="24"/>
  <c r="D72" i="189"/>
  <c r="D72" i="43"/>
  <c r="D72" i="55"/>
  <c r="D72" i="57"/>
  <c r="D72" i="124"/>
  <c r="D72" i="34"/>
  <c r="D72" i="33"/>
  <c r="D72" i="123"/>
  <c r="D72" i="106"/>
  <c r="D72" i="152"/>
  <c r="D72" i="151"/>
  <c r="D72" i="96"/>
  <c r="D72" i="112"/>
  <c r="D72" i="156"/>
  <c r="D72" i="188"/>
  <c r="D72" i="42"/>
  <c r="D72" i="83"/>
  <c r="D72" i="48"/>
  <c r="D72" i="30"/>
  <c r="D72" i="29"/>
  <c r="D72" i="49"/>
  <c r="D72" i="22"/>
  <c r="D72" i="28"/>
  <c r="D72" i="84"/>
  <c r="D72" i="60"/>
  <c r="D72" i="61"/>
  <c r="D72" i="58"/>
  <c r="D72" i="13"/>
  <c r="D72" i="9"/>
  <c r="D72" i="7"/>
  <c r="D72" i="6"/>
  <c r="D72" i="95"/>
  <c r="D72" i="93"/>
  <c r="D72" i="53"/>
  <c r="E72" i="53" s="1"/>
  <c r="D72" i="120"/>
  <c r="D72" i="4"/>
  <c r="D72" i="194"/>
  <c r="E69" i="53"/>
  <c r="E64" i="53"/>
  <c r="D74" i="6" l="1"/>
  <c r="D75" i="6" s="1"/>
  <c r="E75" i="121"/>
  <c r="D74" i="58"/>
  <c r="D75" i="58" s="1"/>
  <c r="D74" i="95"/>
  <c r="D75" i="95" s="1"/>
  <c r="E58" i="72"/>
  <c r="E64" i="72" s="1"/>
  <c r="D74" i="196"/>
  <c r="D75" i="196" s="1"/>
  <c r="E58" i="196"/>
  <c r="E64" i="196" s="1"/>
  <c r="D74" i="120"/>
  <c r="D75" i="120" s="1"/>
  <c r="D74" i="4"/>
  <c r="D75" i="4" s="1"/>
  <c r="D74" i="70"/>
  <c r="D76" i="70" s="1"/>
  <c r="D74" i="194"/>
  <c r="D75" i="194" s="1"/>
  <c r="E58" i="37"/>
  <c r="E64" i="37" s="1"/>
  <c r="E58" i="110"/>
  <c r="E64" i="110" s="1"/>
  <c r="E58" i="153"/>
  <c r="E64" i="153" s="1"/>
  <c r="D74" i="60"/>
  <c r="D75" i="60" s="1"/>
  <c r="E72" i="93"/>
  <c r="D72" i="69"/>
  <c r="D74" i="69" s="1"/>
  <c r="D75" i="69" s="1"/>
  <c r="E58" i="70"/>
  <c r="E64" i="70" s="1"/>
  <c r="E73" i="6"/>
  <c r="D72" i="94"/>
  <c r="E72" i="4"/>
  <c r="D64" i="156"/>
  <c r="D58" i="156" s="1"/>
  <c r="D58" i="9"/>
  <c r="D74" i="9" s="1"/>
  <c r="D75" i="9" s="1"/>
  <c r="D72" i="8"/>
  <c r="D74" i="8" s="1"/>
  <c r="D75" i="8" s="1"/>
  <c r="E76" i="93"/>
  <c r="E76" i="53"/>
  <c r="D74" i="53"/>
  <c r="D72" i="67"/>
  <c r="D74" i="67" s="1"/>
  <c r="D75" i="67" s="1"/>
  <c r="E58" i="6"/>
  <c r="E74" i="6" s="1"/>
  <c r="E75" i="6" s="1"/>
  <c r="E64" i="6"/>
  <c r="D64" i="191"/>
  <c r="D58" i="191" s="1"/>
  <c r="E58" i="191" s="1"/>
  <c r="D64" i="63"/>
  <c r="D58" i="63" s="1"/>
  <c r="D74" i="63" s="1"/>
  <c r="D75" i="63" s="1"/>
  <c r="D64" i="105"/>
  <c r="D58" i="105" s="1"/>
  <c r="E58" i="105" s="1"/>
  <c r="E64" i="105" s="1"/>
  <c r="D64" i="26"/>
  <c r="D58" i="26" s="1"/>
  <c r="D64" i="62"/>
  <c r="D58" i="62" s="1"/>
  <c r="D64" i="40"/>
  <c r="D58" i="40" s="1"/>
  <c r="D64" i="187"/>
  <c r="D58" i="187" s="1"/>
  <c r="D64" i="108"/>
  <c r="D58" i="108" s="1"/>
  <c r="E58" i="108" s="1"/>
  <c r="D64" i="216"/>
  <c r="D58" i="216" s="1"/>
  <c r="E58" i="216" s="1"/>
  <c r="D64" i="215"/>
  <c r="D58" i="215" s="1"/>
  <c r="D64" i="175"/>
  <c r="D58" i="175" s="1"/>
  <c r="E58" i="175" s="1"/>
  <c r="D64" i="140"/>
  <c r="D58" i="140" s="1"/>
  <c r="D64" i="113"/>
  <c r="D58" i="113" s="1"/>
  <c r="D64" i="146"/>
  <c r="D58" i="146" s="1"/>
  <c r="E58" i="146" s="1"/>
  <c r="D64" i="144"/>
  <c r="D58" i="144" s="1"/>
  <c r="D64" i="205"/>
  <c r="D58" i="205" s="1"/>
  <c r="D64" i="99"/>
  <c r="D58" i="99" s="1"/>
  <c r="D74" i="99" s="1"/>
  <c r="D75" i="99" s="1"/>
  <c r="D64" i="100"/>
  <c r="D58" i="100" s="1"/>
  <c r="E58" i="100" s="1"/>
  <c r="D64" i="39"/>
  <c r="D58" i="39" s="1"/>
  <c r="D64" i="130"/>
  <c r="D58" i="130" s="1"/>
  <c r="D64" i="174"/>
  <c r="D58" i="174" s="1"/>
  <c r="D64" i="25"/>
  <c r="D58" i="25" s="1"/>
  <c r="E58" i="25" s="1"/>
  <c r="E64" i="25" s="1"/>
  <c r="D64" i="38"/>
  <c r="D58" i="38" s="1"/>
  <c r="D64" i="171"/>
  <c r="D58" i="171" s="1"/>
  <c r="E58" i="171" s="1"/>
  <c r="E64" i="171" s="1"/>
  <c r="D64" i="214"/>
  <c r="D58" i="214" s="1"/>
  <c r="E58" i="214" s="1"/>
  <c r="D64" i="166"/>
  <c r="D58" i="166" s="1"/>
  <c r="D64" i="165"/>
  <c r="D58" i="165" s="1"/>
  <c r="D64" i="170"/>
  <c r="D58" i="170" s="1"/>
  <c r="E58" i="170" s="1"/>
  <c r="E64" i="170" s="1"/>
  <c r="D64" i="102"/>
  <c r="D58" i="102" s="1"/>
  <c r="D74" i="102" s="1"/>
  <c r="D75" i="102" s="1"/>
  <c r="D64" i="103"/>
  <c r="D58" i="103" s="1"/>
  <c r="D74" i="103" s="1"/>
  <c r="D75" i="103" s="1"/>
  <c r="D64" i="89"/>
  <c r="D58" i="89" s="1"/>
  <c r="D74" i="89" s="1"/>
  <c r="D75" i="89" s="1"/>
  <c r="D64" i="168"/>
  <c r="D58" i="168" s="1"/>
  <c r="D64" i="88"/>
  <c r="D58" i="88" s="1"/>
  <c r="D74" i="88" s="1"/>
  <c r="D75" i="88" s="1"/>
  <c r="D64" i="114"/>
  <c r="D58" i="114" s="1"/>
  <c r="D64" i="164"/>
  <c r="D58" i="164" s="1"/>
  <c r="D64" i="92"/>
  <c r="D58" i="92" s="1"/>
  <c r="D64" i="163"/>
  <c r="D58" i="163" s="1"/>
  <c r="E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D74" i="161" s="1"/>
  <c r="D75" i="161" s="1"/>
  <c r="D64" i="36"/>
  <c r="D58" i="36" s="1"/>
  <c r="E58" i="36" s="1"/>
  <c r="D64" i="77"/>
  <c r="D58" i="77" s="1"/>
  <c r="E58" i="77" s="1"/>
  <c r="D64" i="75"/>
  <c r="D58" i="75" s="1"/>
  <c r="D74" i="75" s="1"/>
  <c r="D76" i="75" s="1"/>
  <c r="D74" i="71"/>
  <c r="D76" i="71" s="1"/>
  <c r="E58" i="71"/>
  <c r="E64" i="71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74" i="212" s="1"/>
  <c r="D75" i="212" s="1"/>
  <c r="D64" i="189"/>
  <c r="D58" i="189" s="1"/>
  <c r="E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E58" i="211" s="1"/>
  <c r="D64" i="151"/>
  <c r="D58" i="151" s="1"/>
  <c r="D64" i="96"/>
  <c r="D58" i="96" s="1"/>
  <c r="D64" i="112"/>
  <c r="D58" i="112" s="1"/>
  <c r="E58" i="112" s="1"/>
  <c r="D64" i="28"/>
  <c r="D58" i="28" s="1"/>
  <c r="E58" i="28" s="1"/>
  <c r="D72" i="81"/>
  <c r="D74" i="81" s="1"/>
  <c r="D75" i="81" s="1"/>
  <c r="D72" i="17"/>
  <c r="E72" i="17" s="1"/>
  <c r="E71" i="95"/>
  <c r="E64" i="95"/>
  <c r="E58" i="95"/>
  <c r="E73" i="95"/>
  <c r="D74" i="122"/>
  <c r="D75" i="122" s="1"/>
  <c r="D74" i="199"/>
  <c r="D75" i="199" s="1"/>
  <c r="D74" i="84"/>
  <c r="D75" i="84" s="1"/>
  <c r="D74" i="23"/>
  <c r="E73" i="23"/>
  <c r="D64" i="41"/>
  <c r="D58" i="41" s="1"/>
  <c r="D64" i="101"/>
  <c r="D58" i="101" s="1"/>
  <c r="D64" i="173"/>
  <c r="D58" i="173" s="1"/>
  <c r="D64" i="104"/>
  <c r="D58" i="104" s="1"/>
  <c r="D64" i="213"/>
  <c r="D58" i="213" s="1"/>
  <c r="D74" i="213" s="1"/>
  <c r="D75" i="213" s="1"/>
  <c r="D64" i="76"/>
  <c r="D58" i="76" s="1"/>
  <c r="E58" i="76" s="1"/>
  <c r="D74" i="73"/>
  <c r="D76" i="73" s="1"/>
  <c r="E58" i="73"/>
  <c r="E64" i="73" s="1"/>
  <c r="D64" i="27"/>
  <c r="D58" i="27" s="1"/>
  <c r="D74" i="27" s="1"/>
  <c r="D76" i="27" s="1"/>
  <c r="D64" i="202"/>
  <c r="D58" i="202" s="1"/>
  <c r="E58" i="202" s="1"/>
  <c r="D64" i="57"/>
  <c r="D58" i="57" s="1"/>
  <c r="D64" i="33"/>
  <c r="D58" i="33" s="1"/>
  <c r="E58" i="53"/>
  <c r="E74" i="53" s="1"/>
  <c r="E64" i="4"/>
  <c r="D74" i="13"/>
  <c r="D75" i="13" s="1"/>
  <c r="D72" i="1"/>
  <c r="D74" i="1" s="1"/>
  <c r="E58" i="199"/>
  <c r="E64" i="199"/>
  <c r="E73" i="199"/>
  <c r="E69" i="199"/>
  <c r="D74" i="20"/>
  <c r="D75" i="20" s="1"/>
  <c r="D74" i="110"/>
  <c r="D75" i="110" s="1"/>
  <c r="D64" i="64"/>
  <c r="D58" i="64" s="1"/>
  <c r="E58" i="64" s="1"/>
  <c r="D75" i="177"/>
  <c r="D74" i="177" s="1"/>
  <c r="D64" i="109"/>
  <c r="D58" i="109" s="1"/>
  <c r="D64" i="159"/>
  <c r="D58" i="159" s="1"/>
  <c r="D74" i="134"/>
  <c r="D75" i="134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64" i="142"/>
  <c r="D58" i="142" s="1"/>
  <c r="D74" i="143"/>
  <c r="D75" i="143" s="1"/>
  <c r="D64" i="85"/>
  <c r="D58" i="85" s="1"/>
  <c r="D64" i="128"/>
  <c r="D64" i="46"/>
  <c r="D58" i="46" s="1"/>
  <c r="E58" i="46" s="1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74" i="74"/>
  <c r="D76" i="74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197"/>
  <c r="D58" i="197" s="1"/>
  <c r="D64" i="210"/>
  <c r="D58" i="210" s="1"/>
  <c r="E58" i="210" s="1"/>
  <c r="D64" i="209"/>
  <c r="D58" i="209" s="1"/>
  <c r="E58" i="209" s="1"/>
  <c r="D64" i="195"/>
  <c r="D58" i="195" s="1"/>
  <c r="E58" i="195" s="1"/>
  <c r="D64" i="188"/>
  <c r="D58" i="188" s="1"/>
  <c r="E58" i="188" s="1"/>
  <c r="D64" i="42"/>
  <c r="D58" i="42" s="1"/>
  <c r="E58" i="42" s="1"/>
  <c r="D64" i="83"/>
  <c r="D58" i="83" s="1"/>
  <c r="D74" i="83" s="1"/>
  <c r="D75" i="83" s="1"/>
  <c r="D74" i="48"/>
  <c r="D75" i="48" s="1"/>
  <c r="D64" i="29"/>
  <c r="D58" i="29" s="1"/>
  <c r="E58" i="29" s="1"/>
  <c r="D64" i="49"/>
  <c r="D58" i="49" s="1"/>
  <c r="E58" i="49" s="1"/>
  <c r="D64" i="22"/>
  <c r="D58" i="22" s="1"/>
  <c r="D74" i="22" s="1"/>
  <c r="D75" i="22" s="1"/>
  <c r="D74" i="61"/>
  <c r="D75" i="61" s="1"/>
  <c r="D74" i="146"/>
  <c r="D76" i="146" s="1"/>
  <c r="E64" i="143"/>
  <c r="D74" i="114"/>
  <c r="D75" i="114" s="1"/>
  <c r="D74" i="36"/>
  <c r="D75" i="36" s="1"/>
  <c r="D74" i="55"/>
  <c r="D75" i="55" s="1"/>
  <c r="E58" i="55"/>
  <c r="E64" i="55" s="1"/>
  <c r="D74" i="112"/>
  <c r="D75" i="112" s="1"/>
  <c r="D74" i="156"/>
  <c r="D75" i="156" s="1"/>
  <c r="E64" i="93"/>
  <c r="E69" i="93"/>
  <c r="D73" i="93"/>
  <c r="D74" i="93" s="1"/>
  <c r="D75" i="93" s="1"/>
  <c r="E75" i="93" s="1"/>
  <c r="E73" i="67"/>
  <c r="E69" i="67"/>
  <c r="E72" i="67"/>
  <c r="E58" i="67"/>
  <c r="D74" i="121"/>
  <c r="D75" i="121" s="1"/>
  <c r="D74" i="78"/>
  <c r="D75" i="78" s="1"/>
  <c r="E64" i="81"/>
  <c r="E69" i="81"/>
  <c r="E58" i="81"/>
  <c r="E72" i="81"/>
  <c r="E64" i="17"/>
  <c r="E58" i="17"/>
  <c r="E69" i="17"/>
  <c r="E73" i="17"/>
  <c r="D74" i="11"/>
  <c r="D75" i="11" s="1"/>
  <c r="D74" i="10"/>
  <c r="D75" i="10" s="1"/>
  <c r="D74" i="5"/>
  <c r="D75" i="5" s="1"/>
  <c r="E64" i="5"/>
  <c r="E58" i="5"/>
  <c r="E73" i="5"/>
  <c r="E72" i="5"/>
  <c r="E69" i="5"/>
  <c r="E58" i="4"/>
  <c r="E73" i="4"/>
  <c r="E69" i="4"/>
  <c r="E74" i="25"/>
  <c r="E75" i="25" s="1"/>
  <c r="D74" i="28"/>
  <c r="D75" i="28" s="1"/>
  <c r="E64" i="194"/>
  <c r="E58" i="194"/>
  <c r="E73" i="194"/>
  <c r="E69" i="194"/>
  <c r="E73" i="120"/>
  <c r="E72" i="120"/>
  <c r="E69" i="120"/>
  <c r="E64" i="120"/>
  <c r="E58" i="120"/>
  <c r="E72" i="69"/>
  <c r="E73" i="69"/>
  <c r="E58" i="69"/>
  <c r="E64" i="69"/>
  <c r="E71" i="69"/>
  <c r="E69" i="69"/>
  <c r="D74" i="30"/>
  <c r="D75" i="30" s="1"/>
  <c r="E58" i="30"/>
  <c r="D74" i="16"/>
  <c r="D75" i="16" s="1"/>
  <c r="E58" i="99"/>
  <c r="E73" i="81"/>
  <c r="E64" i="67"/>
  <c r="E58" i="93"/>
  <c r="D74" i="25"/>
  <c r="D75" i="25" s="1"/>
  <c r="E73" i="177"/>
  <c r="E74" i="177" s="1"/>
  <c r="E75" i="177" s="1"/>
  <c r="E73" i="37"/>
  <c r="E73" i="71"/>
  <c r="E58" i="174"/>
  <c r="D74" i="174"/>
  <c r="D75" i="174" s="1"/>
  <c r="D74" i="165"/>
  <c r="D75" i="165" s="1"/>
  <c r="E58" i="103"/>
  <c r="E73" i="217"/>
  <c r="E69" i="217"/>
  <c r="E64" i="217"/>
  <c r="E72" i="194"/>
  <c r="D74" i="163"/>
  <c r="D75" i="163" s="1"/>
  <c r="D74" i="170"/>
  <c r="D75" i="170" s="1"/>
  <c r="D74" i="100"/>
  <c r="D75" i="100" s="1"/>
  <c r="E74" i="134"/>
  <c r="E75" i="134" s="1"/>
  <c r="E73" i="153"/>
  <c r="E74" i="153" s="1"/>
  <c r="E75" i="153" s="1"/>
  <c r="E73" i="73"/>
  <c r="E73" i="70"/>
  <c r="E74" i="70" s="1"/>
  <c r="E76" i="70" s="1"/>
  <c r="E58" i="205"/>
  <c r="D74" i="205"/>
  <c r="D75" i="205" s="1"/>
  <c r="D74" i="216"/>
  <c r="D75" i="216" s="1"/>
  <c r="E73" i="20"/>
  <c r="E74" i="20" s="1"/>
  <c r="E75" i="20" s="1"/>
  <c r="E73" i="55"/>
  <c r="E73" i="72"/>
  <c r="E58" i="26"/>
  <c r="D74" i="26"/>
  <c r="D75" i="26" s="1"/>
  <c r="E58" i="164"/>
  <c r="D74" i="164"/>
  <c r="D75" i="164" s="1"/>
  <c r="E58" i="161"/>
  <c r="D74" i="94"/>
  <c r="D75" i="94" s="1"/>
  <c r="E73" i="110"/>
  <c r="E73" i="90"/>
  <c r="E73" i="74"/>
  <c r="E74" i="74" s="1"/>
  <c r="E76" i="74" s="1"/>
  <c r="E73" i="196"/>
  <c r="D74" i="79"/>
  <c r="D75" i="79" s="1"/>
  <c r="E58" i="63" l="1"/>
  <c r="E58" i="129"/>
  <c r="E58" i="75"/>
  <c r="E74" i="196"/>
  <c r="E75" i="196" s="1"/>
  <c r="E58" i="88"/>
  <c r="E74" i="72"/>
  <c r="E76" i="72" s="1"/>
  <c r="D75" i="53"/>
  <c r="E75" i="53" s="1"/>
  <c r="D74" i="215"/>
  <c r="D75" i="215" s="1"/>
  <c r="E74" i="110"/>
  <c r="E75" i="110" s="1"/>
  <c r="E74" i="71"/>
  <c r="E76" i="71" s="1"/>
  <c r="E74" i="171"/>
  <c r="E75" i="171" s="1"/>
  <c r="D74" i="189"/>
  <c r="D75" i="189" s="1"/>
  <c r="D74" i="209"/>
  <c r="D75" i="209" s="1"/>
  <c r="E58" i="201"/>
  <c r="E74" i="37"/>
  <c r="E75" i="37" s="1"/>
  <c r="D74" i="42"/>
  <c r="D75" i="42" s="1"/>
  <c r="D74" i="191"/>
  <c r="D75" i="191" s="1"/>
  <c r="D74" i="108"/>
  <c r="D76" i="108" s="1"/>
  <c r="E64" i="193"/>
  <c r="D74" i="49"/>
  <c r="D75" i="49" s="1"/>
  <c r="E58" i="212"/>
  <c r="D74" i="195"/>
  <c r="D75" i="195" s="1"/>
  <c r="D74" i="105"/>
  <c r="D75" i="105" s="1"/>
  <c r="E74" i="90"/>
  <c r="E75" i="90" s="1"/>
  <c r="D74" i="211"/>
  <c r="D76" i="211" s="1"/>
  <c r="E58" i="136"/>
  <c r="E64" i="136" s="1"/>
  <c r="E58" i="89"/>
  <c r="D74" i="202"/>
  <c r="D75" i="202" s="1"/>
  <c r="E58" i="24"/>
  <c r="E64" i="24" s="1"/>
  <c r="D74" i="171"/>
  <c r="D75" i="171" s="1"/>
  <c r="D74" i="64"/>
  <c r="D75" i="64" s="1"/>
  <c r="D74" i="175"/>
  <c r="D75" i="175" s="1"/>
  <c r="D74" i="214"/>
  <c r="D75" i="214" s="1"/>
  <c r="E58" i="167"/>
  <c r="E64" i="167" s="1"/>
  <c r="D74" i="77"/>
  <c r="D75" i="77" s="1"/>
  <c r="E72" i="9"/>
  <c r="E72" i="7"/>
  <c r="E71" i="1"/>
  <c r="D58" i="128"/>
  <c r="E58" i="128" s="1"/>
  <c r="E74" i="105"/>
  <c r="E75" i="105" s="1"/>
  <c r="E74" i="170"/>
  <c r="E75" i="170" s="1"/>
  <c r="E58" i="22"/>
  <c r="E74" i="22" s="1"/>
  <c r="E75" i="22" s="1"/>
  <c r="E72" i="78"/>
  <c r="E64" i="78"/>
  <c r="E58" i="102"/>
  <c r="E74" i="102" s="1"/>
  <c r="E75" i="102" s="1"/>
  <c r="D74" i="46"/>
  <c r="D75" i="46" s="1"/>
  <c r="E74" i="163"/>
  <c r="E75" i="163" s="1"/>
  <c r="E74" i="73"/>
  <c r="E76" i="73" s="1"/>
  <c r="E64" i="9"/>
  <c r="E73" i="9"/>
  <c r="E73" i="7"/>
  <c r="E74" i="95"/>
  <c r="E75" i="95" s="1"/>
  <c r="E75" i="94"/>
  <c r="E76" i="94"/>
  <c r="E72" i="121"/>
  <c r="E58" i="79"/>
  <c r="D74" i="17"/>
  <c r="D75" i="17" s="1"/>
  <c r="E58" i="78"/>
  <c r="E69" i="78"/>
  <c r="E73" i="78"/>
  <c r="E73" i="16"/>
  <c r="E73" i="1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40"/>
  <c r="E58" i="187"/>
  <c r="D74" i="187"/>
  <c r="D75" i="187" s="1"/>
  <c r="E64" i="175"/>
  <c r="E74" i="175"/>
  <c r="E75" i="175" s="1"/>
  <c r="D74" i="140"/>
  <c r="D75" i="140" s="1"/>
  <c r="E58" i="140"/>
  <c r="D74" i="113"/>
  <c r="D75" i="113" s="1"/>
  <c r="E58" i="113"/>
  <c r="E58" i="144"/>
  <c r="D74" i="144"/>
  <c r="D75" i="144" s="1"/>
  <c r="E64" i="100"/>
  <c r="E74" i="100"/>
  <c r="E75" i="100" s="1"/>
  <c r="D74" i="39"/>
  <c r="D75" i="39" s="1"/>
  <c r="E58" i="39"/>
  <c r="D74" i="130"/>
  <c r="D75" i="130" s="1"/>
  <c r="E58" i="130"/>
  <c r="E58" i="23"/>
  <c r="E64" i="23" s="1"/>
  <c r="E58" i="38"/>
  <c r="D74" i="38"/>
  <c r="D75" i="38" s="1"/>
  <c r="D74" i="166"/>
  <c r="D75" i="166" s="1"/>
  <c r="E58" i="166"/>
  <c r="E58" i="168"/>
  <c r="D74" i="168"/>
  <c r="D75" i="168" s="1"/>
  <c r="D74" i="193"/>
  <c r="D75" i="193" s="1"/>
  <c r="D74" i="92"/>
  <c r="D75" i="92" s="1"/>
  <c r="E58" i="92"/>
  <c r="D74" i="137"/>
  <c r="D75" i="137" s="1"/>
  <c r="E58" i="137"/>
  <c r="E58" i="138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06"/>
  <c r="E58" i="151"/>
  <c r="D74" i="151"/>
  <c r="D76" i="151" s="1"/>
  <c r="E58" i="96"/>
  <c r="D74" i="96"/>
  <c r="D76" i="96" s="1"/>
  <c r="E72" i="84"/>
  <c r="E64" i="84"/>
  <c r="E58" i="60"/>
  <c r="E73" i="61"/>
  <c r="E58" i="61"/>
  <c r="E58" i="58"/>
  <c r="E58" i="13"/>
  <c r="E64" i="13"/>
  <c r="E73" i="94"/>
  <c r="E64" i="79"/>
  <c r="E73" i="79"/>
  <c r="E69" i="79"/>
  <c r="E72" i="79"/>
  <c r="E64" i="58"/>
  <c r="E71" i="94"/>
  <c r="E58" i="27"/>
  <c r="E74" i="27" s="1"/>
  <c r="E76" i="27" s="1"/>
  <c r="E74" i="199"/>
  <c r="E75" i="199" s="1"/>
  <c r="D75" i="1"/>
  <c r="E58" i="94"/>
  <c r="D74" i="29"/>
  <c r="D75" i="29" s="1"/>
  <c r="E74" i="55"/>
  <c r="E75" i="55" s="1"/>
  <c r="D74" i="210"/>
  <c r="D75" i="210" s="1"/>
  <c r="E69" i="94"/>
  <c r="E74" i="143"/>
  <c r="E75" i="143" s="1"/>
  <c r="E58" i="147"/>
  <c r="E64" i="147" s="1"/>
  <c r="D74" i="169"/>
  <c r="D75" i="169" s="1"/>
  <c r="E69" i="61"/>
  <c r="E64" i="60"/>
  <c r="D74" i="128"/>
  <c r="D75" i="128" s="1"/>
  <c r="E64" i="94"/>
  <c r="E72" i="61"/>
  <c r="E64" i="63"/>
  <c r="E74" i="63"/>
  <c r="E75" i="63" s="1"/>
  <c r="E72" i="94"/>
  <c r="D75" i="23"/>
  <c r="D74" i="41"/>
  <c r="D75" i="41" s="1"/>
  <c r="E58" i="41"/>
  <c r="E58" i="101"/>
  <c r="D74" i="101"/>
  <c r="D75" i="101" s="1"/>
  <c r="E58" i="173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74" i="17"/>
  <c r="E75" i="17" s="1"/>
  <c r="E69" i="16"/>
  <c r="E72" i="16"/>
  <c r="E64" i="16"/>
  <c r="E58" i="16"/>
  <c r="E58" i="11"/>
  <c r="E69" i="10"/>
  <c r="E74" i="5"/>
  <c r="E75" i="5" s="1"/>
  <c r="E74" i="4"/>
  <c r="E75" i="4" s="1"/>
  <c r="E69" i="1"/>
  <c r="E72" i="13"/>
  <c r="E72" i="1"/>
  <c r="E58" i="1"/>
  <c r="E59" i="1"/>
  <c r="E58" i="109"/>
  <c r="D74" i="109"/>
  <c r="D76" i="109" s="1"/>
  <c r="D74" i="159"/>
  <c r="D76" i="159" s="1"/>
  <c r="E58" i="159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179"/>
  <c r="D74" i="142"/>
  <c r="D76" i="142" s="1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E58" i="148"/>
  <c r="D74" i="148"/>
  <c r="D76" i="148" s="1"/>
  <c r="E58" i="152"/>
  <c r="D74" i="152"/>
  <c r="D76" i="152" s="1"/>
  <c r="D74" i="197"/>
  <c r="D75" i="197" s="1"/>
  <c r="E58" i="197"/>
  <c r="D74" i="188"/>
  <c r="D75" i="188" s="1"/>
  <c r="E58" i="83"/>
  <c r="E74" i="83" s="1"/>
  <c r="E75" i="83" s="1"/>
  <c r="E58" i="48"/>
  <c r="E64" i="48" s="1"/>
  <c r="E73" i="84"/>
  <c r="E58" i="84"/>
  <c r="E69" i="84"/>
  <c r="E72" i="60"/>
  <c r="E72" i="58"/>
  <c r="E73" i="58"/>
  <c r="E58" i="9"/>
  <c r="E71" i="8"/>
  <c r="E73" i="8"/>
  <c r="E64" i="8"/>
  <c r="E58" i="8"/>
  <c r="D58" i="7"/>
  <c r="D74" i="7" s="1"/>
  <c r="E64" i="7"/>
  <c r="E64" i="108"/>
  <c r="E74" i="108"/>
  <c r="E76" i="108" s="1"/>
  <c r="E64" i="215"/>
  <c r="E74" i="215"/>
  <c r="E75" i="215" s="1"/>
  <c r="E74" i="146"/>
  <c r="E76" i="146" s="1"/>
  <c r="E64" i="146"/>
  <c r="E64" i="89"/>
  <c r="E74" i="89"/>
  <c r="E75" i="89" s="1"/>
  <c r="E64" i="88"/>
  <c r="E74" i="88"/>
  <c r="E75" i="88" s="1"/>
  <c r="E64" i="114"/>
  <c r="E74" i="114"/>
  <c r="E75" i="114" s="1"/>
  <c r="E64" i="76"/>
  <c r="E74" i="76"/>
  <c r="E75" i="76" s="1"/>
  <c r="E64" i="36"/>
  <c r="E74" i="36"/>
  <c r="E75" i="36" s="1"/>
  <c r="E74" i="24"/>
  <c r="E76" i="24" s="1"/>
  <c r="E64" i="189"/>
  <c r="E74" i="189"/>
  <c r="E75" i="189" s="1"/>
  <c r="E64" i="112"/>
  <c r="E74" i="112"/>
  <c r="E75" i="112" s="1"/>
  <c r="E74" i="156"/>
  <c r="E75" i="156" s="1"/>
  <c r="E73" i="93"/>
  <c r="E74" i="93" s="1"/>
  <c r="E74" i="67"/>
  <c r="E75" i="67" s="1"/>
  <c r="E74" i="120"/>
  <c r="E75" i="120" s="1"/>
  <c r="E73" i="121"/>
  <c r="E58" i="121"/>
  <c r="E64" i="121"/>
  <c r="E74" i="81"/>
  <c r="E75" i="81" s="1"/>
  <c r="E69" i="11"/>
  <c r="E73" i="11"/>
  <c r="E64" i="11"/>
  <c r="E72" i="11"/>
  <c r="E72" i="10"/>
  <c r="E73" i="10"/>
  <c r="E64" i="10"/>
  <c r="E58" i="10"/>
  <c r="E74" i="194"/>
  <c r="E75" i="194" s="1"/>
  <c r="E74" i="209"/>
  <c r="E75" i="209" s="1"/>
  <c r="E64" i="209"/>
  <c r="E64" i="26"/>
  <c r="E74" i="26"/>
  <c r="E75" i="26" s="1"/>
  <c r="E74" i="216"/>
  <c r="E75" i="216" s="1"/>
  <c r="E64" i="216"/>
  <c r="E74" i="103"/>
  <c r="E75" i="103" s="1"/>
  <c r="E64" i="103"/>
  <c r="E64" i="212"/>
  <c r="E74" i="212"/>
  <c r="E75" i="212" s="1"/>
  <c r="E74" i="202"/>
  <c r="E75" i="202" s="1"/>
  <c r="E64" i="202"/>
  <c r="E64" i="75"/>
  <c r="E74" i="75"/>
  <c r="E76" i="75" s="1"/>
  <c r="E64" i="129"/>
  <c r="E74" i="129"/>
  <c r="E75" i="129" s="1"/>
  <c r="E74" i="30"/>
  <c r="E75" i="30" s="1"/>
  <c r="E64" i="30"/>
  <c r="E74" i="42"/>
  <c r="E75" i="42" s="1"/>
  <c r="E64" i="42"/>
  <c r="E64" i="49"/>
  <c r="E74" i="49"/>
  <c r="E75" i="49" s="1"/>
  <c r="E74" i="69"/>
  <c r="E75" i="69" s="1"/>
  <c r="E64" i="29"/>
  <c r="E74" i="29"/>
  <c r="E75" i="29" s="1"/>
  <c r="E74" i="164"/>
  <c r="E75" i="164" s="1"/>
  <c r="E64" i="164"/>
  <c r="E64" i="214"/>
  <c r="E74" i="214"/>
  <c r="E75" i="214" s="1"/>
  <c r="E74" i="174"/>
  <c r="E75" i="174" s="1"/>
  <c r="E64" i="174"/>
  <c r="E74" i="205"/>
  <c r="E75" i="205" s="1"/>
  <c r="E64" i="205"/>
  <c r="E74" i="211"/>
  <c r="E76" i="211" s="1"/>
  <c r="E64" i="211"/>
  <c r="E74" i="213"/>
  <c r="E75" i="213" s="1"/>
  <c r="E64" i="213"/>
  <c r="E64" i="161"/>
  <c r="E74" i="161"/>
  <c r="E75" i="161" s="1"/>
  <c r="E74" i="46"/>
  <c r="E75" i="46" s="1"/>
  <c r="E64" i="46"/>
  <c r="E64" i="64"/>
  <c r="E74" i="64"/>
  <c r="E75" i="64" s="1"/>
  <c r="E64" i="191"/>
  <c r="E74" i="191"/>
  <c r="E75" i="191" s="1"/>
  <c r="E74" i="165"/>
  <c r="E75" i="165" s="1"/>
  <c r="E64" i="210"/>
  <c r="E74" i="210"/>
  <c r="E75" i="210" s="1"/>
  <c r="E74" i="99"/>
  <c r="E75" i="99" s="1"/>
  <c r="E64" i="99"/>
  <c r="E74" i="28"/>
  <c r="E75" i="28" s="1"/>
  <c r="E64" i="28"/>
  <c r="E64" i="201"/>
  <c r="E74" i="201"/>
  <c r="E75" i="201" s="1"/>
  <c r="E74" i="195"/>
  <c r="E75" i="195" s="1"/>
  <c r="E64" i="195"/>
  <c r="E64" i="102" l="1"/>
  <c r="E74" i="167"/>
  <c r="E75" i="167" s="1"/>
  <c r="E74" i="136"/>
  <c r="E75" i="136" s="1"/>
  <c r="E64" i="22"/>
  <c r="E74" i="121"/>
  <c r="E74" i="9"/>
  <c r="E75" i="9" s="1"/>
  <c r="E64" i="27"/>
  <c r="E74" i="23"/>
  <c r="E75" i="23" s="1"/>
  <c r="E64" i="83"/>
  <c r="E74" i="79"/>
  <c r="E75" i="79" s="1"/>
  <c r="E74" i="128"/>
  <c r="E75" i="128" s="1"/>
  <c r="E64" i="128"/>
  <c r="E74" i="147"/>
  <c r="E76" i="147" s="1"/>
  <c r="E74" i="78"/>
  <c r="E75" i="78" s="1"/>
  <c r="E74" i="61"/>
  <c r="E75" i="61" s="1"/>
  <c r="E74" i="94"/>
  <c r="E58" i="217"/>
  <c r="E74" i="217" s="1"/>
  <c r="E75" i="217" s="1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64" i="140"/>
  <c r="E74" i="140"/>
  <c r="E75" i="140" s="1"/>
  <c r="E64" i="113"/>
  <c r="E74" i="113"/>
  <c r="E75" i="113" s="1"/>
  <c r="E74" i="144"/>
  <c r="E75" i="144" s="1"/>
  <c r="E64" i="144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74" i="168"/>
  <c r="E75" i="168" s="1"/>
  <c r="E64" i="168"/>
  <c r="E64" i="92"/>
  <c r="E74" i="92"/>
  <c r="E75" i="92" s="1"/>
  <c r="E64" i="137"/>
  <c r="E74" i="137"/>
  <c r="E75" i="137" s="1"/>
  <c r="E64" i="138"/>
  <c r="E74" i="138"/>
  <c r="E75" i="138" s="1"/>
  <c r="E64" i="115"/>
  <c r="E74" i="115"/>
  <c r="E75" i="115" s="1"/>
  <c r="E64" i="149"/>
  <c r="E74" i="149"/>
  <c r="E76" i="149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51"/>
  <c r="E74" i="151"/>
  <c r="E76" i="151" s="1"/>
  <c r="E74" i="96"/>
  <c r="E76" i="96" s="1"/>
  <c r="E64" i="96"/>
  <c r="E74" i="60"/>
  <c r="E75" i="60" s="1"/>
  <c r="E74" i="13"/>
  <c r="E75" i="13" s="1"/>
  <c r="E74" i="16"/>
  <c r="E75" i="16" s="1"/>
  <c r="E74" i="58"/>
  <c r="E75" i="58" s="1"/>
  <c r="E74" i="1"/>
  <c r="E75" i="1" s="1"/>
  <c r="E74" i="48"/>
  <c r="E75" i="48" s="1"/>
  <c r="E74" i="122"/>
  <c r="E75" i="122" s="1"/>
  <c r="E64" i="41"/>
  <c r="E74" i="41"/>
  <c r="E75" i="41" s="1"/>
  <c r="E64" i="101"/>
  <c r="E74" i="101"/>
  <c r="E75" i="101" s="1"/>
  <c r="E64" i="173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35"/>
  <c r="E74" i="135"/>
  <c r="E76" i="135" s="1"/>
  <c r="E64" i="132"/>
  <c r="E74" i="132"/>
  <c r="E76" i="132" s="1"/>
  <c r="E64" i="133"/>
  <c r="E74" i="133"/>
  <c r="E76" i="133" s="1"/>
  <c r="E64" i="179"/>
  <c r="E74" i="179"/>
  <c r="E76" i="179" s="1"/>
  <c r="E64" i="142"/>
  <c r="E74" i="142"/>
  <c r="E76" i="142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64" i="197"/>
  <c r="E64" i="188"/>
  <c r="E74" i="188"/>
  <c r="E75" i="188" s="1"/>
  <c r="E74" i="84"/>
  <c r="E75" i="84" s="1"/>
  <c r="E74" i="8"/>
  <c r="E75" i="8" s="1"/>
  <c r="E58" i="7"/>
  <c r="E74" i="7" s="1"/>
  <c r="E75" i="7" s="1"/>
  <c r="E74" i="11"/>
  <c r="E75" i="11" s="1"/>
  <c r="E74" i="10"/>
  <c r="E75" i="10" s="1"/>
  <c r="D75" i="7" l="1"/>
</calcChain>
</file>

<file path=xl/sharedStrings.xml><?xml version="1.0" encoding="utf-8"?>
<sst xmlns="http://schemas.openxmlformats.org/spreadsheetml/2006/main" count="20989" uniqueCount="274">
  <si>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</si>
  <si>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</si>
  <si>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</si>
  <si>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</si>
  <si>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</si>
  <si>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</si>
  <si>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</si>
  <si>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</si>
  <si>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</si>
  <si>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</si>
  <si>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</si>
  <si>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</si>
  <si>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</si>
  <si>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</si>
  <si>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</si>
  <si>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</si>
  <si>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</si>
  <si>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</si>
  <si>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</si>
  <si>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</si>
  <si>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</si>
  <si>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</si>
  <si>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</si>
  <si>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</si>
  <si>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</si>
  <si>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</si>
  <si>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</si>
  <si>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</si>
  <si>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</si>
  <si>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</si>
  <si>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</si>
  <si>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</si>
  <si>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</si>
  <si>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</si>
  <si>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</si>
  <si>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</si>
  <si>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</si>
  <si>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</si>
  <si>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</si>
  <si>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</si>
  <si>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</si>
  <si>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</si>
  <si>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</si>
  <si>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</si>
  <si>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</si>
  <si>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</si>
  <si>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</si>
  <si>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</si>
  <si>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</si>
  <si>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</si>
  <si>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</si>
  <si>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</si>
  <si>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</si>
  <si>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</si>
  <si>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</si>
  <si>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</si>
  <si>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</si>
  <si>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</si>
  <si>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</si>
  <si>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</si>
  <si>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</si>
  <si>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</si>
  <si>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</si>
  <si>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</si>
  <si>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</si>
  <si>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</si>
  <si>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</si>
  <si>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</si>
  <si>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</si>
  <si>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</si>
  <si>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</si>
  <si>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</si>
  <si>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</si>
  <si>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</si>
  <si>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</si>
  <si>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</si>
  <si>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</si>
  <si>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</si>
  <si>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</si>
  <si>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</si>
  <si>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</si>
  <si>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</si>
  <si>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</si>
  <si>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</si>
  <si>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</si>
  <si>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</si>
  <si>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</si>
  <si>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</si>
  <si>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</si>
  <si>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</si>
  <si>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</si>
  <si>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</si>
  <si>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</si>
  <si>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</si>
  <si>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</si>
  <si>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</si>
  <si>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</si>
  <si>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</si>
  <si>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</si>
  <si>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</si>
  <si>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</si>
  <si>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</si>
  <si>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</si>
  <si>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</si>
  <si>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</si>
  <si>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</si>
  <si>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</si>
  <si>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</si>
  <si>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</si>
  <si>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</si>
  <si>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</si>
  <si>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</si>
  <si>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</si>
  <si>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</si>
  <si>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</si>
  <si>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</si>
  <si>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</si>
  <si>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</si>
  <si>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</si>
  <si>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</si>
  <si>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</si>
  <si>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</si>
  <si>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</si>
  <si>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</si>
  <si>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</si>
  <si>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31-12-2018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</si>
  <si>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</si>
  <si>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</si>
  <si>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</si>
  <si>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</si>
  <si>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</si>
  <si>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</si>
  <si>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</si>
  <si>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</si>
  <si>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</si>
  <si>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</si>
  <si>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</si>
  <si>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</si>
  <si>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</si>
  <si>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</si>
  <si>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</si>
  <si>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</si>
  <si>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</si>
  <si>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</si>
  <si>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</si>
  <si>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</si>
  <si>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</si>
  <si>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Obligacji Obniżonego Ryzyka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</si>
  <si>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</si>
  <si>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</si>
  <si>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</si>
  <si>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</si>
  <si>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</si>
  <si>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</si>
  <si>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</si>
  <si>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</si>
  <si>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</si>
  <si>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Surowców i Energii</t>
  </si>
  <si>
    <t>Allianz Akcji Rynków Wschodzących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</si>
  <si>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</si>
  <si>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</si>
  <si>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</si>
  <si>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</si>
  <si>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Obligacji Globalnych</t>
  </si>
  <si>
    <t>Allianz Altus Absolutnej Stopy Zwrotu Dłużny</t>
  </si>
  <si>
    <t>Allianz Aviva Dłużnych Papierów Korporacyjnych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</si>
  <si>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</si>
  <si>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</si>
  <si>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</si>
  <si>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</si>
  <si>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</si>
  <si>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</si>
  <si>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Akcji Spółek Dywidendowych</t>
  </si>
  <si>
    <t>Allianz Investor TOP 25 Małych Spółek</t>
  </si>
  <si>
    <t>Allianz Investor Zrównoważony</t>
  </si>
  <si>
    <t>Allianz Investor Ameryka Łacińska</t>
  </si>
  <si>
    <t>Allianz Investor BRIC</t>
  </si>
  <si>
    <t>Allianz Investor Gold</t>
  </si>
  <si>
    <t>Allianz Investor Indie i Chiny</t>
  </si>
  <si>
    <t>Allianz Investor Obligacji Korporacyjnych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</si>
  <si>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</si>
  <si>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</si>
  <si>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</si>
  <si>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</si>
  <si>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</si>
  <si>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>Allianz ESALIENS Strateg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</si>
  <si>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</si>
  <si>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</si>
  <si>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</si>
  <si>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</si>
  <si>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</si>
  <si>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</si>
  <si>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</si>
  <si>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Nowej Azji</t>
  </si>
  <si>
    <t>Allianz NN Obligacji Rynków Wschodzących</t>
  </si>
  <si>
    <t>Allianz NN Spółek Dywidendowych USA</t>
  </si>
  <si>
    <t>Allianz NN Stabilny Globalnej Alokacji</t>
  </si>
  <si>
    <t>Allianz NN Spółek Dywidendowych Rynków Wschodzących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</si>
  <si>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</si>
  <si>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</si>
  <si>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</si>
  <si>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</si>
  <si>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</si>
  <si>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</si>
  <si>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</si>
  <si>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</si>
  <si>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</si>
  <si>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Stabilnego Inwestowania</t>
  </si>
  <si>
    <t>Allianz Pekao Obligacji - Dynamiczna Alokacja 2</t>
  </si>
  <si>
    <t>Allianz Pekao Akcji - Aktywna Selekcja</t>
  </si>
  <si>
    <t>Allianz Pekao Akcji Europejskich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</si>
  <si>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</si>
  <si>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</si>
  <si>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</si>
  <si>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</si>
  <si>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</si>
  <si>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</si>
  <si>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</si>
  <si>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Spółek Dywidendowych</t>
  </si>
  <si>
    <t>Allianz PZU Akcji Krakowiak</t>
  </si>
  <si>
    <t>Allianz PZU Akcji Małych i Średnich Spółek</t>
  </si>
  <si>
    <t>Allianz PZU Medyczny</t>
  </si>
  <si>
    <t>Allianz PZU Zrównoważony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</si>
  <si>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</si>
  <si>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</si>
  <si>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</si>
  <si>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</si>
  <si>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</si>
  <si>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Convertible Bond Fund (PLN Hedged)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</si>
  <si>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</si>
  <si>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</si>
  <si>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</si>
  <si>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</si>
  <si>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</si>
  <si>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</si>
  <si>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Małych i Średnich Spółek</t>
  </si>
  <si>
    <t>Allianz Skarbiec Globalny Małych i Średnich Spółek</t>
  </si>
  <si>
    <t>Allianz Skarbiec Spółek Wzrostowych</t>
  </si>
  <si>
    <t>Allianz Skarbiec Akcja</t>
  </si>
  <si>
    <t>Allianz Skarbiec Top Brands</t>
  </si>
  <si>
    <t>Allianz Templeton Global Bond Fund (PLN Hedged)</t>
  </si>
  <si>
    <t>Allianz Templeton Global Total Return Fund (PLN Hedged)</t>
  </si>
  <si>
    <t>Allianz Templeton Latin America Fund</t>
  </si>
  <si>
    <t xml:space="preserve">Allianz Investor Dochodowy </t>
  </si>
  <si>
    <t>Allianz Investor Oszczędnościowy</t>
  </si>
  <si>
    <t xml:space="preserve">Allianz NN Polski Odpowiedzialnego Inwestowania </t>
  </si>
  <si>
    <t>Allianz Pekao Spokojna Inwestycja</t>
  </si>
  <si>
    <t>Allianz Pekao Konserwatywny</t>
  </si>
  <si>
    <t>Allianz Pekao Konserwatywny Plus</t>
  </si>
  <si>
    <t>Allianz Skarbiec Konserwatywny</t>
  </si>
  <si>
    <t>31-12-2019</t>
  </si>
  <si>
    <t>Allianz Generali Obligacje Aktywny</t>
  </si>
  <si>
    <t>Allianz Generali Obligacje: Nowa Europa</t>
  </si>
  <si>
    <t>Allianz Generali Akcje: Nowa Europa</t>
  </si>
  <si>
    <t>Allianz Generali Akcje Małych i Średnich Spółek</t>
  </si>
  <si>
    <t>Allianz Generali Akcje Wzrostu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</si>
  <si>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</si>
  <si>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</si>
  <si>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</si>
  <si>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</si>
  <si>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</si>
  <si>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</si>
  <si>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Generali Globalnych Akcji Wzrostu</t>
  </si>
  <si>
    <t>Allianz JPM Global Macro Opportunities Fund D (PLN)</t>
  </si>
  <si>
    <t>30-06-2020</t>
  </si>
  <si>
    <t>30-06-2019</t>
  </si>
  <si>
    <t>Allianz JPM Emerging Markets Opportunities Fund (PLN)</t>
  </si>
  <si>
    <t>Allianz ESALIENS Konserwatywny</t>
  </si>
  <si>
    <t>Allianz Noble Fund Akcji Polskich</t>
  </si>
  <si>
    <t>Allianz Noble Fund Akcji Amerykańskich</t>
  </si>
  <si>
    <t>Allianz Schroder ISF - Global Credit High Income (PLN Hedged)</t>
  </si>
  <si>
    <t>Allianz Generali Złota</t>
  </si>
  <si>
    <t>SPORZĄDZONE NA DZIEŃ 30-06-2020</t>
  </si>
  <si>
    <t>NA DZIEŃ 30-06-2020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</si>
</sst>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z_ł_-;\-* #,##0.00\ _z_ł_-;_-* &quot;-&quot;??\ _z_ł_-;_-@_-"/>
    <numFmt numFmtId="165" formatCode="#,##0.0000"/>
    <numFmt numFmtId="166" formatCode="0.0000"/>
    <numFmt numFmtId="167" formatCode="#,##0.0000_ ;\-#,##0.0000\ "/>
    <numFmt numFmtId="168" formatCode="#,##0.00000"/>
  </numFmts>
  <fonts count="6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20" borderId="1" applyNumberFormat="0" applyAlignment="0" applyProtection="0"/>
    <xf numFmtId="9" fontId="3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27" fillId="3" borderId="0" applyNumberFormat="0" applyBorder="0" applyAlignment="0" applyProtection="0"/>
    <xf numFmtId="0" fontId="33" fillId="0" borderId="0"/>
    <xf numFmtId="0" fontId="21" fillId="23" borderId="66" applyNumberFormat="0" applyFont="0" applyAlignment="0" applyProtection="0"/>
    <xf numFmtId="0" fontId="23" fillId="0" borderId="65" applyNumberFormat="0" applyFill="0" applyAlignment="0" applyProtection="0"/>
    <xf numFmtId="0" fontId="22" fillId="20" borderId="63" applyNumberFormat="0" applyAlignment="0" applyProtection="0"/>
    <xf numFmtId="0" fontId="13" fillId="20" borderId="64" applyNumberFormat="0" applyAlignment="0" applyProtection="0"/>
    <xf numFmtId="0" fontId="12" fillId="7" borderId="63" applyNumberFormat="0" applyAlignment="0" applyProtection="0"/>
    <xf numFmtId="0" fontId="3" fillId="0" borderId="0"/>
    <xf numFmtId="0" fontId="21" fillId="23" borderId="70" applyNumberFormat="0" applyFont="0" applyAlignment="0" applyProtection="0"/>
    <xf numFmtId="0" fontId="23" fillId="0" borderId="69" applyNumberFormat="0" applyFill="0" applyAlignment="0" applyProtection="0"/>
    <xf numFmtId="0" fontId="22" fillId="20" borderId="67" applyNumberFormat="0" applyAlignment="0" applyProtection="0"/>
    <xf numFmtId="0" fontId="13" fillId="20" borderId="68" applyNumberFormat="0" applyAlignment="0" applyProtection="0"/>
    <xf numFmtId="0" fontId="12" fillId="7" borderId="67" applyNumberFormat="0" applyAlignment="0" applyProtection="0"/>
    <xf numFmtId="0" fontId="35" fillId="0" borderId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34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6" borderId="0" applyNumberFormat="0" applyBorder="0" applyAlignment="0" applyProtection="0"/>
    <xf numFmtId="0" fontId="36" fillId="50" borderId="0" applyNumberFormat="0" applyBorder="0" applyAlignment="0" applyProtection="0"/>
    <xf numFmtId="0" fontId="36" fillId="54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37" fillId="43" borderId="0" applyNumberFormat="0" applyBorder="0" applyAlignment="0" applyProtection="0"/>
    <xf numFmtId="0" fontId="37" fillId="47" borderId="0" applyNumberFormat="0" applyBorder="0" applyAlignment="0" applyProtection="0"/>
    <xf numFmtId="0" fontId="37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8" fillId="26" borderId="0" applyNumberFormat="0" applyBorder="0" applyAlignment="0" applyProtection="0"/>
    <xf numFmtId="0" fontId="39" fillId="29" borderId="74" applyNumberFormat="0" applyAlignment="0" applyProtection="0"/>
    <xf numFmtId="0" fontId="40" fillId="30" borderId="7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71" applyNumberFormat="0" applyFill="0" applyAlignment="0" applyProtection="0"/>
    <xf numFmtId="0" fontId="44" fillId="0" borderId="72" applyNumberFormat="0" applyFill="0" applyAlignment="0" applyProtection="0"/>
    <xf numFmtId="0" fontId="45" fillId="0" borderId="7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74" applyNumberFormat="0" applyAlignment="0" applyProtection="0"/>
    <xf numFmtId="0" fontId="47" fillId="0" borderId="76" applyNumberFormat="0" applyFill="0" applyAlignment="0" applyProtection="0"/>
    <xf numFmtId="0" fontId="48" fillId="27" borderId="0" applyNumberFormat="0" applyBorder="0" applyAlignment="0" applyProtection="0"/>
    <xf numFmtId="0" fontId="35" fillId="31" borderId="78" applyNumberFormat="0" applyFont="0" applyAlignment="0" applyProtection="0"/>
    <xf numFmtId="0" fontId="49" fillId="29" borderId="75" applyNumberFormat="0" applyAlignment="0" applyProtection="0"/>
    <xf numFmtId="0" fontId="50" fillId="0" borderId="0" applyNumberFormat="0" applyFill="0" applyBorder="0" applyAlignment="0" applyProtection="0"/>
    <xf numFmtId="0" fontId="51" fillId="0" borderId="7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53" fillId="31" borderId="78" applyNumberFormat="0" applyFont="0" applyAlignment="0" applyProtection="0"/>
    <xf numFmtId="0" fontId="3" fillId="31" borderId="78" applyNumberFormat="0" applyFont="0" applyAlignment="0" applyProtection="0"/>
    <xf numFmtId="0" fontId="56" fillId="0" borderId="0"/>
    <xf numFmtId="0" fontId="3" fillId="0" borderId="0"/>
    <xf numFmtId="0" fontId="12" fillId="7" borderId="89" applyNumberFormat="0" applyAlignment="0" applyProtection="0"/>
    <xf numFmtId="0" fontId="13" fillId="20" borderId="90" applyNumberFormat="0" applyAlignment="0" applyProtection="0"/>
    <xf numFmtId="0" fontId="22" fillId="20" borderId="89" applyNumberFormat="0" applyAlignment="0" applyProtection="0"/>
    <xf numFmtId="0" fontId="23" fillId="0" borderId="91" applyNumberFormat="0" applyFill="0" applyAlignment="0" applyProtection="0"/>
    <xf numFmtId="0" fontId="21" fillId="23" borderId="92" applyNumberFormat="0" applyFont="0" applyAlignment="0" applyProtection="0"/>
    <xf numFmtId="0" fontId="23" fillId="0" borderId="91" applyNumberFormat="0" applyFill="0" applyAlignment="0" applyProtection="0"/>
    <xf numFmtId="0" fontId="13" fillId="20" borderId="90" applyNumberFormat="0" applyAlignment="0" applyProtection="0"/>
    <xf numFmtId="0" fontId="21" fillId="23" borderId="92" applyNumberFormat="0" applyFont="0" applyAlignment="0" applyProtection="0"/>
    <xf numFmtId="0" fontId="21" fillId="23" borderId="92" applyNumberFormat="0" applyFont="0" applyAlignment="0" applyProtection="0"/>
    <xf numFmtId="0" fontId="3" fillId="0" borderId="0"/>
    <xf numFmtId="0" fontId="12" fillId="7" borderId="89" applyNumberFormat="0" applyAlignment="0" applyProtection="0"/>
    <xf numFmtId="0" fontId="13" fillId="20" borderId="90" applyNumberFormat="0" applyAlignment="0" applyProtection="0"/>
    <xf numFmtId="0" fontId="22" fillId="20" borderId="89" applyNumberFormat="0" applyAlignment="0" applyProtection="0"/>
    <xf numFmtId="0" fontId="23" fillId="0" borderId="91" applyNumberFormat="0" applyFill="0" applyAlignment="0" applyProtection="0"/>
    <xf numFmtId="0" fontId="22" fillId="20" borderId="89" applyNumberFormat="0" applyAlignment="0" applyProtection="0"/>
    <xf numFmtId="0" fontId="12" fillId="7" borderId="89" applyNumberFormat="0" applyAlignment="0" applyProtection="0"/>
    <xf numFmtId="0" fontId="3" fillId="0" borderId="0"/>
    <xf numFmtId="0" fontId="3" fillId="31" borderId="78" applyNumberFormat="0" applyFont="0" applyAlignment="0" applyProtection="0"/>
    <xf numFmtId="0" fontId="2" fillId="0" borderId="0"/>
    <xf numFmtId="0" fontId="3" fillId="0" borderId="0"/>
    <xf numFmtId="0" fontId="58" fillId="0" borderId="0"/>
    <xf numFmtId="0" fontId="59" fillId="0" borderId="0"/>
    <xf numFmtId="0" fontId="1" fillId="0" borderId="0"/>
    <xf numFmtId="9" fontId="1" fillId="0" borderId="0" applyFont="0" applyFill="0" applyBorder="0" applyAlignment="0" applyProtection="0"/>
  </cellStyleXfs>
  <cellXfs count="370">
    <xf numFmtId="0" fontId="0" fillId="0" borderId="0" xfId="0"/>
    <xf numFmtId="0" fontId="4" fillId="24" borderId="0" xfId="0" applyFont="1" applyFill="1"/>
    <xf numFmtId="4" fontId="4" fillId="24" borderId="0" xfId="0" applyNumberFormat="1" applyFont="1" applyFill="1"/>
    <xf numFmtId="0" fontId="4" fillId="24" borderId="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wrapText="1"/>
    </xf>
    <xf numFmtId="0" fontId="8" fillId="24" borderId="13" xfId="0" applyFont="1" applyFill="1" applyBorder="1" applyAlignment="1">
      <alignment horizontal="center"/>
    </xf>
    <xf numFmtId="0" fontId="8" fillId="24" borderId="18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164" fontId="4" fillId="24" borderId="0" xfId="0" applyNumberFormat="1" applyFont="1" applyFill="1" applyBorder="1" applyAlignment="1">
      <alignment wrapText="1"/>
    </xf>
    <xf numFmtId="0" fontId="7" fillId="24" borderId="17" xfId="0" applyFont="1" applyFill="1" applyBorder="1" applyAlignment="1">
      <alignment horizontal="left" wrapText="1"/>
    </xf>
    <xf numFmtId="0" fontId="7" fillId="24" borderId="18" xfId="0" applyFont="1" applyFill="1" applyBorder="1" applyAlignment="1">
      <alignment horizontal="left" wrapText="1"/>
    </xf>
    <xf numFmtId="0" fontId="7" fillId="24" borderId="18" xfId="0" applyFont="1" applyFill="1" applyBorder="1" applyAlignment="1">
      <alignment wrapText="1"/>
    </xf>
    <xf numFmtId="0" fontId="8" fillId="24" borderId="27" xfId="0" applyFont="1" applyFill="1" applyBorder="1" applyAlignment="1">
      <alignment wrapText="1"/>
    </xf>
    <xf numFmtId="0" fontId="7" fillId="24" borderId="22" xfId="0" applyFont="1" applyFill="1" applyBorder="1"/>
    <xf numFmtId="0" fontId="8" fillId="24" borderId="17" xfId="0" applyFont="1" applyFill="1" applyBorder="1" applyAlignment="1">
      <alignment horizontal="center"/>
    </xf>
    <xf numFmtId="0" fontId="8" fillId="24" borderId="18" xfId="0" applyNumberFormat="1" applyFont="1" applyFill="1" applyBorder="1" applyAlignment="1">
      <alignment wrapText="1"/>
    </xf>
    <xf numFmtId="0" fontId="8" fillId="24" borderId="20" xfId="0" applyFont="1" applyFill="1" applyBorder="1" applyAlignment="1">
      <alignment horizontal="center"/>
    </xf>
    <xf numFmtId="0" fontId="8" fillId="24" borderId="19" xfId="0" applyNumberFormat="1" applyFont="1" applyFill="1" applyBorder="1" applyAlignment="1">
      <alignment wrapText="1"/>
    </xf>
    <xf numFmtId="4" fontId="4" fillId="24" borderId="27" xfId="0" applyNumberFormat="1" applyFont="1" applyFill="1" applyBorder="1" applyAlignment="1">
      <alignment horizontal="center" wrapText="1"/>
    </xf>
    <xf numFmtId="4" fontId="4" fillId="24" borderId="28" xfId="0" applyNumberFormat="1" applyFont="1" applyFill="1" applyBorder="1" applyAlignment="1">
      <alignment horizontal="center" wrapText="1"/>
    </xf>
    <xf numFmtId="0" fontId="7" fillId="24" borderId="29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center"/>
    </xf>
    <xf numFmtId="0" fontId="8" fillId="24" borderId="27" xfId="0" applyNumberFormat="1" applyFont="1" applyFill="1" applyBorder="1" applyAlignment="1">
      <alignment wrapText="1"/>
    </xf>
    <xf numFmtId="0" fontId="7" fillId="24" borderId="32" xfId="0" applyFont="1" applyFill="1" applyBorder="1"/>
    <xf numFmtId="0" fontId="7" fillId="24" borderId="33" xfId="0" applyNumberFormat="1" applyFont="1" applyFill="1" applyBorder="1" applyAlignment="1">
      <alignment wrapText="1"/>
    </xf>
    <xf numFmtId="4" fontId="7" fillId="24" borderId="33" xfId="0" applyNumberFormat="1" applyFont="1" applyFill="1" applyBorder="1"/>
    <xf numFmtId="10" fontId="7" fillId="24" borderId="34" xfId="37" applyNumberFormat="1" applyFont="1" applyFill="1" applyBorder="1"/>
    <xf numFmtId="0" fontId="0" fillId="24" borderId="0" xfId="0" applyFill="1"/>
    <xf numFmtId="4" fontId="7" fillId="24" borderId="24" xfId="0" applyNumberFormat="1" applyFont="1" applyFill="1" applyBorder="1"/>
    <xf numFmtId="0" fontId="7" fillId="24" borderId="13" xfId="0" applyFont="1" applyFill="1" applyBorder="1" applyAlignment="1">
      <alignment horizontal="center"/>
    </xf>
    <xf numFmtId="0" fontId="7" fillId="24" borderId="38" xfId="0" applyNumberFormat="1" applyFont="1" applyFill="1" applyBorder="1" applyAlignment="1">
      <alignment wrapText="1"/>
    </xf>
    <xf numFmtId="10" fontId="7" fillId="24" borderId="15" xfId="37" applyNumberFormat="1" applyFont="1" applyFill="1" applyBorder="1"/>
    <xf numFmtId="0" fontId="21" fillId="0" borderId="0" xfId="35"/>
    <xf numFmtId="0" fontId="28" fillId="0" borderId="0" xfId="35" applyFont="1"/>
    <xf numFmtId="164" fontId="28" fillId="0" borderId="0" xfId="35" applyNumberFormat="1" applyFont="1"/>
    <xf numFmtId="0" fontId="29" fillId="0" borderId="29" xfId="35" applyFont="1" applyBorder="1"/>
    <xf numFmtId="0" fontId="29" fillId="0" borderId="41" xfId="35" applyFont="1" applyBorder="1"/>
    <xf numFmtId="164" fontId="29" fillId="0" borderId="42" xfId="35" applyNumberFormat="1" applyFont="1" applyBorder="1"/>
    <xf numFmtId="164" fontId="29" fillId="0" borderId="37" xfId="35" applyNumberFormat="1" applyFont="1" applyBorder="1"/>
    <xf numFmtId="164" fontId="29" fillId="0" borderId="0" xfId="35" applyNumberFormat="1" applyFont="1"/>
    <xf numFmtId="0" fontId="29" fillId="0" borderId="43" xfId="35" applyFont="1" applyBorder="1"/>
    <xf numFmtId="0" fontId="29" fillId="0" borderId="0" xfId="35" applyFont="1" applyBorder="1"/>
    <xf numFmtId="164" fontId="30" fillId="0" borderId="44" xfId="35" applyNumberFormat="1" applyFont="1" applyBorder="1" applyAlignment="1">
      <alignment horizontal="center"/>
    </xf>
    <xf numFmtId="164" fontId="30" fillId="0" borderId="45" xfId="35" applyNumberFormat="1" applyFont="1" applyBorder="1" applyAlignment="1">
      <alignment horizontal="center"/>
    </xf>
    <xf numFmtId="0" fontId="29" fillId="0" borderId="46" xfId="35" applyFont="1" applyBorder="1"/>
    <xf numFmtId="0" fontId="29" fillId="0" borderId="47" xfId="35" applyFont="1" applyBorder="1"/>
    <xf numFmtId="164" fontId="30" fillId="0" borderId="48" xfId="35" applyNumberFormat="1" applyFont="1" applyBorder="1" applyAlignment="1">
      <alignment horizontal="center"/>
    </xf>
    <xf numFmtId="164" fontId="30" fillId="0" borderId="49" xfId="35" applyNumberFormat="1" applyFont="1" applyBorder="1" applyAlignment="1">
      <alignment horizontal="center"/>
    </xf>
    <xf numFmtId="164" fontId="29" fillId="0" borderId="44" xfId="35" applyNumberFormat="1" applyFont="1" applyBorder="1"/>
    <xf numFmtId="164" fontId="29" fillId="0" borderId="45" xfId="35" applyNumberFormat="1" applyFont="1" applyBorder="1"/>
    <xf numFmtId="0" fontId="30" fillId="0" borderId="43" xfId="35" applyFont="1" applyBorder="1"/>
    <xf numFmtId="0" fontId="30" fillId="0" borderId="0" xfId="35" applyFont="1" applyBorder="1"/>
    <xf numFmtId="164" fontId="30" fillId="0" borderId="44" xfId="35" applyNumberFormat="1" applyFont="1" applyFill="1" applyBorder="1"/>
    <xf numFmtId="164" fontId="30" fillId="0" borderId="45" xfId="35" applyNumberFormat="1" applyFont="1" applyFill="1" applyBorder="1"/>
    <xf numFmtId="164" fontId="30" fillId="0" borderId="44" xfId="35" applyNumberFormat="1" applyFont="1" applyBorder="1"/>
    <xf numFmtId="164" fontId="30" fillId="0" borderId="45" xfId="35" applyNumberFormat="1" applyFont="1" applyBorder="1"/>
    <xf numFmtId="0" fontId="30" fillId="0" borderId="29" xfId="35" applyFont="1" applyBorder="1"/>
    <xf numFmtId="0" fontId="30" fillId="0" borderId="41" xfId="35" applyFont="1" applyBorder="1"/>
    <xf numFmtId="164" fontId="30" fillId="0" borderId="42" xfId="35" applyNumberFormat="1" applyFont="1" applyBorder="1"/>
    <xf numFmtId="164" fontId="30" fillId="0" borderId="37" xfId="35" applyNumberFormat="1" applyFont="1" applyBorder="1"/>
    <xf numFmtId="0" fontId="30" fillId="0" borderId="46" xfId="35" applyFont="1" applyBorder="1"/>
    <xf numFmtId="0" fontId="30" fillId="0" borderId="47" xfId="35" applyFont="1" applyBorder="1"/>
    <xf numFmtId="164" fontId="30" fillId="0" borderId="48" xfId="35" applyNumberFormat="1" applyFont="1" applyBorder="1"/>
    <xf numFmtId="164" fontId="30" fillId="0" borderId="49" xfId="35" applyNumberFormat="1" applyFont="1" applyBorder="1"/>
    <xf numFmtId="164" fontId="29" fillId="0" borderId="48" xfId="35" applyNumberFormat="1" applyFont="1" applyBorder="1"/>
    <xf numFmtId="164" fontId="29" fillId="0" borderId="49" xfId="35" applyNumberFormat="1" applyFont="1" applyBorder="1"/>
    <xf numFmtId="10" fontId="7" fillId="24" borderId="31" xfId="37" applyNumberFormat="1" applyFont="1" applyFill="1" applyBorder="1"/>
    <xf numFmtId="164" fontId="0" fillId="0" borderId="0" xfId="0" applyNumberFormat="1"/>
    <xf numFmtId="0" fontId="8" fillId="24" borderId="39" xfId="0" applyFont="1" applyFill="1" applyBorder="1" applyAlignment="1">
      <alignment wrapText="1"/>
    </xf>
    <xf numFmtId="0" fontId="8" fillId="24" borderId="40" xfId="0" applyFont="1" applyFill="1" applyBorder="1" applyAlignment="1">
      <alignment wrapText="1"/>
    </xf>
    <xf numFmtId="4" fontId="7" fillId="24" borderId="14" xfId="0" applyNumberFormat="1" applyFont="1" applyFill="1" applyBorder="1" applyAlignment="1">
      <alignment horizontal="center" wrapText="1"/>
    </xf>
    <xf numFmtId="4" fontId="0" fillId="0" borderId="0" xfId="0" applyNumberFormat="1"/>
    <xf numFmtId="164" fontId="31" fillId="0" borderId="44" xfId="35" applyNumberFormat="1" applyFont="1" applyFill="1" applyBorder="1"/>
    <xf numFmtId="165" fontId="3" fillId="24" borderId="25" xfId="0" applyNumberFormat="1" applyFont="1" applyFill="1" applyBorder="1"/>
    <xf numFmtId="166" fontId="3" fillId="24" borderId="25" xfId="0" applyNumberFormat="1" applyFont="1" applyFill="1" applyBorder="1"/>
    <xf numFmtId="0" fontId="8" fillId="24" borderId="11" xfId="0" applyFont="1" applyFill="1" applyBorder="1" applyAlignment="1">
      <alignment horizontal="center"/>
    </xf>
    <xf numFmtId="4" fontId="32" fillId="0" borderId="0" xfId="0" applyNumberFormat="1" applyFont="1"/>
    <xf numFmtId="4" fontId="3" fillId="24" borderId="18" xfId="0" applyNumberFormat="1" applyFont="1" applyFill="1" applyBorder="1"/>
    <xf numFmtId="10" fontId="3" fillId="24" borderId="31" xfId="37" applyNumberFormat="1" applyFont="1" applyFill="1" applyBorder="1"/>
    <xf numFmtId="4" fontId="3" fillId="24" borderId="27" xfId="0" applyNumberFormat="1" applyFont="1" applyFill="1" applyBorder="1"/>
    <xf numFmtId="10" fontId="3" fillId="24" borderId="28" xfId="37" applyNumberFormat="1" applyFont="1" applyFill="1" applyBorder="1"/>
    <xf numFmtId="4" fontId="3" fillId="24" borderId="19" xfId="0" applyNumberFormat="1" applyFont="1" applyFill="1" applyBorder="1"/>
    <xf numFmtId="10" fontId="3" fillId="24" borderId="35" xfId="37" applyNumberFormat="1" applyFont="1" applyFill="1" applyBorder="1"/>
    <xf numFmtId="0" fontId="3" fillId="24" borderId="0" xfId="0" applyFont="1" applyFill="1"/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22" xfId="0" applyFont="1" applyFill="1" applyBorder="1" applyAlignment="1">
      <alignment wrapText="1"/>
    </xf>
    <xf numFmtId="0" fontId="8" fillId="24" borderId="57" xfId="0" applyFont="1" applyFill="1" applyBorder="1" applyAlignment="1">
      <alignment wrapText="1"/>
    </xf>
    <xf numFmtId="0" fontId="7" fillId="24" borderId="17" xfId="0" applyFont="1" applyFill="1" applyBorder="1" applyAlignment="1">
      <alignment wrapText="1"/>
    </xf>
    <xf numFmtId="0" fontId="7" fillId="24" borderId="0" xfId="0" applyFont="1" applyFill="1" applyBorder="1" applyAlignment="1">
      <alignment horizontal="left" wrapText="1"/>
    </xf>
    <xf numFmtId="164" fontId="7" fillId="24" borderId="0" xfId="0" applyNumberFormat="1" applyFont="1" applyFill="1" applyBorder="1" applyAlignment="1">
      <alignment horizontal="right" wrapText="1"/>
    </xf>
    <xf numFmtId="0" fontId="7" fillId="24" borderId="30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left" wrapText="1"/>
    </xf>
    <xf numFmtId="0" fontId="7" fillId="24" borderId="27" xfId="0" applyFont="1" applyFill="1" applyBorder="1" applyAlignment="1">
      <alignment horizontal="left" wrapText="1"/>
    </xf>
    <xf numFmtId="0" fontId="7" fillId="24" borderId="54" xfId="0" applyFont="1" applyFill="1" applyBorder="1" applyAlignment="1">
      <alignment horizontal="left" wrapText="1"/>
    </xf>
    <xf numFmtId="0" fontId="7" fillId="24" borderId="21" xfId="0" applyFont="1" applyFill="1" applyBorder="1" applyAlignment="1">
      <alignment horizontal="left" wrapText="1"/>
    </xf>
    <xf numFmtId="4" fontId="7" fillId="24" borderId="16" xfId="0" applyNumberFormat="1" applyFont="1" applyFill="1" applyBorder="1"/>
    <xf numFmtId="0" fontId="8" fillId="24" borderId="17" xfId="0" applyFont="1" applyFill="1" applyBorder="1" applyAlignment="1">
      <alignment horizontal="left"/>
    </xf>
    <xf numFmtId="0" fontId="8" fillId="24" borderId="20" xfId="0" applyFont="1" applyFill="1" applyBorder="1" applyAlignment="1">
      <alignment horizontal="left"/>
    </xf>
    <xf numFmtId="0" fontId="8" fillId="24" borderId="17" xfId="0" applyFont="1" applyFill="1" applyBorder="1" applyAlignment="1">
      <alignment wrapText="1"/>
    </xf>
    <xf numFmtId="0" fontId="8" fillId="24" borderId="26" xfId="0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0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 horizontal="left"/>
    </xf>
    <xf numFmtId="0" fontId="8" fillId="24" borderId="0" xfId="0" applyNumberFormat="1" applyFont="1" applyFill="1" applyBorder="1" applyAlignment="1">
      <alignment wrapText="1"/>
    </xf>
    <xf numFmtId="166" fontId="3" fillId="24" borderId="0" xfId="0" applyNumberFormat="1" applyFont="1" applyFill="1" applyBorder="1"/>
    <xf numFmtId="0" fontId="8" fillId="24" borderId="32" xfId="0" applyFont="1" applyFill="1" applyBorder="1" applyAlignment="1">
      <alignment horizontal="center"/>
    </xf>
    <xf numFmtId="0" fontId="8" fillId="24" borderId="33" xfId="0" applyNumberFormat="1" applyFont="1" applyFill="1" applyBorder="1" applyAlignment="1">
      <alignment wrapText="1"/>
    </xf>
    <xf numFmtId="4" fontId="3" fillId="24" borderId="33" xfId="0" applyNumberFormat="1" applyFont="1" applyFill="1" applyBorder="1"/>
    <xf numFmtId="10" fontId="3" fillId="24" borderId="34" xfId="37" applyNumberFormat="1" applyFont="1" applyFill="1" applyBorder="1"/>
    <xf numFmtId="0" fontId="7" fillId="24" borderId="60" xfId="0" applyFont="1" applyFill="1" applyBorder="1"/>
    <xf numFmtId="0" fontId="7" fillId="24" borderId="61" xfId="0" applyNumberFormat="1" applyFont="1" applyFill="1" applyBorder="1" applyAlignment="1">
      <alignment wrapText="1"/>
    </xf>
    <xf numFmtId="4" fontId="7" fillId="24" borderId="61" xfId="0" applyNumberFormat="1" applyFont="1" applyFill="1" applyBorder="1"/>
    <xf numFmtId="10" fontId="7" fillId="24" borderId="62" xfId="37" applyNumberFormat="1" applyFont="1" applyFill="1" applyBorder="1"/>
    <xf numFmtId="0" fontId="7" fillId="24" borderId="17" xfId="0" applyFont="1" applyFill="1" applyBorder="1"/>
    <xf numFmtId="0" fontId="7" fillId="24" borderId="18" xfId="0" applyNumberFormat="1" applyFont="1" applyFill="1" applyBorder="1" applyAlignment="1">
      <alignment wrapText="1"/>
    </xf>
    <xf numFmtId="4" fontId="7" fillId="24" borderId="18" xfId="0" applyNumberFormat="1" applyFont="1" applyFill="1" applyBorder="1"/>
    <xf numFmtId="0" fontId="8" fillId="24" borderId="26" xfId="0" applyFont="1" applyFill="1" applyBorder="1" applyAlignment="1">
      <alignment horizontal="left"/>
    </xf>
    <xf numFmtId="0" fontId="7" fillId="24" borderId="39" xfId="0" applyNumberFormat="1" applyFont="1" applyFill="1" applyBorder="1" applyAlignment="1">
      <alignment wrapText="1"/>
    </xf>
    <xf numFmtId="4" fontId="3" fillId="24" borderId="55" xfId="0" applyNumberFormat="1" applyFont="1" applyFill="1" applyBorder="1"/>
    <xf numFmtId="0" fontId="7" fillId="24" borderId="14" xfId="0" applyNumberFormat="1" applyFont="1" applyFill="1" applyBorder="1" applyAlignment="1">
      <alignment wrapText="1"/>
    </xf>
    <xf numFmtId="4" fontId="7" fillId="24" borderId="14" xfId="0" applyNumberFormat="1" applyFont="1" applyFill="1" applyBorder="1" applyAlignment="1">
      <alignment horizontal="right" wrapText="1"/>
    </xf>
    <xf numFmtId="0" fontId="7" fillId="24" borderId="23" xfId="0" applyFont="1" applyFill="1" applyBorder="1" applyAlignment="1">
      <alignment wrapText="1"/>
    </xf>
    <xf numFmtId="0" fontId="8" fillId="24" borderId="32" xfId="0" applyFont="1" applyFill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7" fillId="24" borderId="60" xfId="0" applyFont="1" applyFill="1" applyBorder="1" applyAlignment="1">
      <alignment horizontal="left"/>
    </xf>
    <xf numFmtId="0" fontId="7" fillId="24" borderId="32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164" fontId="7" fillId="24" borderId="12" xfId="0" applyNumberFormat="1" applyFont="1" applyFill="1" applyBorder="1" applyAlignment="1">
      <alignment horizontal="right" wrapText="1"/>
    </xf>
    <xf numFmtId="165" fontId="3" fillId="24" borderId="50" xfId="0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4" fontId="3" fillId="0" borderId="0" xfId="0" applyNumberFormat="1" applyFont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29" fillId="0" borderId="0" xfId="35" applyNumberFormat="1" applyFont="1"/>
    <xf numFmtId="0" fontId="0" fillId="0" borderId="0" xfId="0" applyFill="1"/>
    <xf numFmtId="4" fontId="0" fillId="0" borderId="0" xfId="0" applyNumberFormat="1" applyFill="1"/>
    <xf numFmtId="4" fontId="32" fillId="0" borderId="0" xfId="0" applyNumberFormat="1" applyFont="1" applyFill="1"/>
    <xf numFmtId="4" fontId="7" fillId="0" borderId="16" xfId="0" applyNumberFormat="1" applyFont="1" applyFill="1" applyBorder="1"/>
    <xf numFmtId="4" fontId="7" fillId="0" borderId="24" xfId="0" applyNumberFormat="1" applyFont="1" applyFill="1" applyBorder="1"/>
    <xf numFmtId="164" fontId="32" fillId="0" borderId="0" xfId="0" applyNumberFormat="1" applyFont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3" fillId="0" borderId="0" xfId="0" applyFont="1"/>
    <xf numFmtId="0" fontId="3" fillId="24" borderId="17" xfId="0" applyFont="1" applyFill="1" applyBorder="1" applyAlignment="1">
      <alignment horizontal="left" wrapText="1"/>
    </xf>
    <xf numFmtId="0" fontId="3" fillId="24" borderId="18" xfId="0" applyFont="1" applyFill="1" applyBorder="1" applyAlignment="1">
      <alignment wrapText="1"/>
    </xf>
    <xf numFmtId="0" fontId="3" fillId="24" borderId="39" xfId="0" applyFont="1" applyFill="1" applyBorder="1" applyAlignment="1">
      <alignment wrapText="1"/>
    </xf>
    <xf numFmtId="0" fontId="3" fillId="24" borderId="26" xfId="0" applyFont="1" applyFill="1" applyBorder="1" applyAlignment="1">
      <alignment horizontal="left" wrapText="1"/>
    </xf>
    <xf numFmtId="0" fontId="3" fillId="24" borderId="57" xfId="0" applyFont="1" applyFill="1" applyBorder="1" applyAlignment="1">
      <alignment wrapText="1"/>
    </xf>
    <xf numFmtId="0" fontId="3" fillId="24" borderId="20" xfId="0" applyFont="1" applyFill="1" applyBorder="1" applyAlignment="1">
      <alignment horizontal="left" wrapText="1"/>
    </xf>
    <xf numFmtId="0" fontId="3" fillId="24" borderId="40" xfId="0" applyFont="1" applyFill="1" applyBorder="1" applyAlignment="1">
      <alignment wrapText="1"/>
    </xf>
    <xf numFmtId="0" fontId="3" fillId="24" borderId="13" xfId="0" applyFont="1" applyFill="1" applyBorder="1" applyAlignment="1">
      <alignment horizontal="center"/>
    </xf>
    <xf numFmtId="0" fontId="3" fillId="24" borderId="17" xfId="0" applyFont="1" applyFill="1" applyBorder="1" applyAlignment="1">
      <alignment wrapText="1"/>
    </xf>
    <xf numFmtId="0" fontId="3" fillId="24" borderId="26" xfId="0" applyFont="1" applyFill="1" applyBorder="1" applyAlignment="1">
      <alignment wrapText="1"/>
    </xf>
    <xf numFmtId="0" fontId="3" fillId="24" borderId="27" xfId="0" applyFont="1" applyFill="1" applyBorder="1" applyAlignment="1">
      <alignment wrapText="1"/>
    </xf>
    <xf numFmtId="0" fontId="3" fillId="24" borderId="17" xfId="0" applyFont="1" applyFill="1" applyBorder="1" applyAlignment="1">
      <alignment horizontal="left"/>
    </xf>
    <xf numFmtId="0" fontId="3" fillId="24" borderId="18" xfId="0" applyNumberFormat="1" applyFont="1" applyFill="1" applyBorder="1" applyAlignment="1">
      <alignment wrapText="1"/>
    </xf>
    <xf numFmtId="0" fontId="3" fillId="24" borderId="26" xfId="0" applyFont="1" applyFill="1" applyBorder="1" applyAlignment="1">
      <alignment horizontal="left"/>
    </xf>
    <xf numFmtId="0" fontId="3" fillId="24" borderId="27" xfId="0" applyNumberFormat="1" applyFont="1" applyFill="1" applyBorder="1" applyAlignment="1">
      <alignment wrapText="1"/>
    </xf>
    <xf numFmtId="0" fontId="3" fillId="24" borderId="20" xfId="0" applyFont="1" applyFill="1" applyBorder="1" applyAlignment="1">
      <alignment horizontal="left"/>
    </xf>
    <xf numFmtId="0" fontId="3" fillId="24" borderId="19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horizontal="left"/>
    </xf>
    <xf numFmtId="0" fontId="3" fillId="24" borderId="0" xfId="0" applyNumberFormat="1" applyFont="1" applyFill="1" applyBorder="1" applyAlignment="1">
      <alignment wrapText="1"/>
    </xf>
    <xf numFmtId="168" fontId="0" fillId="0" borderId="0" xfId="0" applyNumberFormat="1"/>
    <xf numFmtId="0" fontId="7" fillId="24" borderId="38" xfId="0" applyFont="1" applyFill="1" applyBorder="1" applyAlignment="1">
      <alignment wrapText="1"/>
    </xf>
    <xf numFmtId="0" fontId="8" fillId="24" borderId="87" xfId="0" applyFont="1" applyFill="1" applyBorder="1" applyAlignment="1">
      <alignment wrapText="1"/>
    </xf>
    <xf numFmtId="0" fontId="8" fillId="24" borderId="88" xfId="0" applyFont="1" applyFill="1" applyBorder="1" applyAlignment="1">
      <alignment wrapText="1"/>
    </xf>
    <xf numFmtId="0" fontId="7" fillId="24" borderId="87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166" fontId="55" fillId="24" borderId="0" xfId="0" applyNumberFormat="1" applyFont="1" applyFill="1" applyBorder="1"/>
    <xf numFmtId="164" fontId="7" fillId="24" borderId="53" xfId="0" applyNumberFormat="1" applyFont="1" applyFill="1" applyBorder="1" applyAlignment="1">
      <alignment horizontal="right" wrapText="1"/>
    </xf>
    <xf numFmtId="164" fontId="7" fillId="24" borderId="51" xfId="0" applyNumberFormat="1" applyFont="1" applyFill="1" applyBorder="1" applyAlignment="1">
      <alignment horizontal="right" wrapText="1"/>
    </xf>
    <xf numFmtId="164" fontId="3" fillId="24" borderId="51" xfId="0" applyNumberFormat="1" applyFont="1" applyFill="1" applyBorder="1" applyAlignment="1">
      <alignment horizontal="right" wrapText="1"/>
    </xf>
    <xf numFmtId="164" fontId="3" fillId="24" borderId="59" xfId="0" applyNumberFormat="1" applyFont="1" applyFill="1" applyBorder="1" applyAlignment="1">
      <alignment horizontal="right" wrapText="1"/>
    </xf>
    <xf numFmtId="164" fontId="7" fillId="24" borderId="59" xfId="0" applyNumberFormat="1" applyFont="1" applyFill="1" applyBorder="1" applyAlignment="1">
      <alignment horizontal="right" wrapText="1"/>
    </xf>
    <xf numFmtId="164" fontId="7" fillId="24" borderId="13" xfId="0" applyNumberFormat="1" applyFont="1" applyFill="1" applyBorder="1" applyAlignment="1">
      <alignment horizontal="right" wrapText="1"/>
    </xf>
    <xf numFmtId="165" fontId="3" fillId="24" borderId="51" xfId="0" applyNumberFormat="1" applyFont="1" applyFill="1" applyBorder="1"/>
    <xf numFmtId="4" fontId="3" fillId="24" borderId="58" xfId="0" applyNumberFormat="1" applyFont="1" applyFill="1" applyBorder="1"/>
    <xf numFmtId="166" fontId="3" fillId="24" borderId="52" xfId="0" applyNumberFormat="1" applyFont="1" applyFill="1" applyBorder="1"/>
    <xf numFmtId="0" fontId="7" fillId="24" borderId="10" xfId="0" applyFont="1" applyFill="1" applyBorder="1" applyAlignment="1">
      <alignment wrapText="1"/>
    </xf>
    <xf numFmtId="4" fontId="3" fillId="24" borderId="86" xfId="0" applyNumberFormat="1" applyFont="1" applyFill="1" applyBorder="1"/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" fillId="24" borderId="11" xfId="0" applyFont="1" applyFill="1" applyBorder="1" applyAlignment="1">
      <alignment horizontal="center"/>
    </xf>
    <xf numFmtId="0" fontId="7" fillId="24" borderId="39" xfId="0" applyFont="1" applyFill="1" applyBorder="1" applyAlignment="1">
      <alignment wrapText="1"/>
    </xf>
    <xf numFmtId="4" fontId="54" fillId="24" borderId="16" xfId="0" applyNumberFormat="1" applyFont="1" applyFill="1" applyBorder="1"/>
    <xf numFmtId="4" fontId="57" fillId="24" borderId="0" xfId="0" applyNumberFormat="1" applyFont="1" applyFill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164" fontId="57" fillId="24" borderId="0" xfId="0" applyNumberFormat="1" applyFont="1" applyFill="1" applyBorder="1" applyAlignment="1">
      <alignment wrapText="1"/>
    </xf>
    <xf numFmtId="164" fontId="54" fillId="24" borderId="0" xfId="0" applyNumberFormat="1" applyFont="1" applyFill="1" applyBorder="1" applyAlignment="1">
      <alignment horizontal="right" wrapText="1"/>
    </xf>
    <xf numFmtId="164" fontId="7" fillId="24" borderId="37" xfId="0" applyNumberFormat="1" applyFont="1" applyFill="1" applyBorder="1" applyAlignment="1">
      <alignment horizontal="right" wrapText="1"/>
    </xf>
    <xf numFmtId="165" fontId="3" fillId="24" borderId="85" xfId="0" applyNumberFormat="1" applyFont="1" applyFill="1" applyBorder="1"/>
    <xf numFmtId="166" fontId="3" fillId="24" borderId="86" xfId="0" applyNumberFormat="1" applyFont="1" applyFill="1" applyBorder="1"/>
    <xf numFmtId="0" fontId="3" fillId="24" borderId="33" xfId="0" applyNumberFormat="1" applyFont="1" applyFill="1" applyBorder="1" applyAlignment="1">
      <alignment wrapText="1"/>
    </xf>
    <xf numFmtId="0" fontId="3" fillId="24" borderId="32" xfId="0" applyFont="1" applyFill="1" applyBorder="1" applyAlignment="1">
      <alignment horizontal="left"/>
    </xf>
    <xf numFmtId="165" fontId="3" fillId="24" borderId="94" xfId="0" applyNumberFormat="1" applyFont="1" applyFill="1" applyBorder="1"/>
    <xf numFmtId="165" fontId="3" fillId="24" borderId="45" xfId="0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164" fontId="7" fillId="24" borderId="23" xfId="0" applyNumberFormat="1" applyFont="1" applyFill="1" applyBorder="1" applyAlignment="1">
      <alignment horizontal="right" wrapText="1"/>
    </xf>
    <xf numFmtId="164" fontId="7" fillId="24" borderId="24" xfId="0" applyNumberFormat="1" applyFont="1" applyFill="1" applyBorder="1" applyAlignment="1">
      <alignment horizontal="right" wrapText="1"/>
    </xf>
    <xf numFmtId="164" fontId="3" fillId="24" borderId="19" xfId="0" applyNumberFormat="1" applyFont="1" applyFill="1" applyBorder="1" applyAlignment="1">
      <alignment horizontal="right" wrapText="1"/>
    </xf>
    <xf numFmtId="164" fontId="3" fillId="24" borderId="36" xfId="0" applyNumberFormat="1" applyFont="1" applyFill="1" applyBorder="1" applyAlignment="1">
      <alignment horizontal="right" wrapText="1"/>
    </xf>
    <xf numFmtId="164" fontId="7" fillId="24" borderId="21" xfId="0" applyNumberFormat="1" applyFont="1" applyFill="1" applyBorder="1" applyAlignment="1">
      <alignment horizontal="right" wrapText="1"/>
    </xf>
    <xf numFmtId="165" fontId="3" fillId="0" borderId="25" xfId="0" applyNumberFormat="1" applyFont="1" applyFill="1" applyBorder="1"/>
    <xf numFmtId="166" fontId="3" fillId="0" borderId="50" xfId="0" applyNumberFormat="1" applyFont="1" applyFill="1" applyBorder="1"/>
    <xf numFmtId="164" fontId="7" fillId="0" borderId="37" xfId="0" applyNumberFormat="1" applyFont="1" applyFill="1" applyBorder="1" applyAlignment="1">
      <alignment horizontal="right" wrapText="1"/>
    </xf>
    <xf numFmtId="165" fontId="3" fillId="24" borderId="86" xfId="0" applyNumberFormat="1" applyFont="1" applyFill="1" applyBorder="1"/>
    <xf numFmtId="166" fontId="3" fillId="24" borderId="50" xfId="0" applyNumberFormat="1" applyFont="1" applyFill="1" applyBorder="1"/>
    <xf numFmtId="4" fontId="60" fillId="0" borderId="0" xfId="0" applyNumberFormat="1" applyFont="1"/>
    <xf numFmtId="4" fontId="3" fillId="24" borderId="80" xfId="0" applyNumberFormat="1" applyFont="1" applyFill="1" applyBorder="1"/>
    <xf numFmtId="0" fontId="3" fillId="24" borderId="87" xfId="0" applyFont="1" applyFill="1" applyBorder="1" applyAlignment="1">
      <alignment wrapText="1"/>
    </xf>
    <xf numFmtId="164" fontId="3" fillId="24" borderId="80" xfId="0" applyNumberFormat="1" applyFont="1" applyFill="1" applyBorder="1" applyAlignment="1">
      <alignment horizontal="right" wrapText="1"/>
    </xf>
    <xf numFmtId="0" fontId="3" fillId="24" borderId="88" xfId="0" applyFont="1" applyFill="1" applyBorder="1" applyAlignment="1">
      <alignment wrapText="1"/>
    </xf>
    <xf numFmtId="164" fontId="3" fillId="24" borderId="81" xfId="0" applyNumberFormat="1" applyFont="1" applyFill="1" applyBorder="1" applyAlignment="1">
      <alignment horizontal="right" wrapText="1"/>
    </xf>
    <xf numFmtId="164" fontId="7" fillId="24" borderId="80" xfId="0" applyNumberFormat="1" applyFont="1" applyFill="1" applyBorder="1" applyAlignment="1">
      <alignment horizontal="right" wrapText="1"/>
    </xf>
    <xf numFmtId="164" fontId="3" fillId="0" borderId="80" xfId="0" applyNumberFormat="1" applyFont="1" applyFill="1" applyBorder="1" applyAlignment="1">
      <alignment horizontal="right" wrapText="1"/>
    </xf>
    <xf numFmtId="4" fontId="60" fillId="0" borderId="80" xfId="0" applyNumberFormat="1" applyFont="1" applyBorder="1"/>
    <xf numFmtId="4" fontId="3" fillId="0" borderId="80" xfId="0" applyNumberFormat="1" applyFont="1" applyBorder="1"/>
    <xf numFmtId="167" fontId="3" fillId="0" borderId="25" xfId="0" applyNumberFormat="1" applyFont="1" applyFill="1" applyBorder="1" applyAlignment="1">
      <alignment horizontal="right" wrapText="1"/>
    </xf>
    <xf numFmtId="165" fontId="3" fillId="0" borderId="94" xfId="122" applyNumberFormat="1" applyFont="1" applyBorder="1" applyAlignment="1">
      <alignment horizontal="right" vertical="top"/>
    </xf>
    <xf numFmtId="166" fontId="3" fillId="24" borderId="93" xfId="0" applyNumberFormat="1" applyFont="1" applyFill="1" applyBorder="1"/>
    <xf numFmtId="164" fontId="3" fillId="0" borderId="86" xfId="0" applyNumberFormat="1" applyFont="1" applyFill="1" applyBorder="1" applyAlignment="1">
      <alignment horizontal="right" wrapText="1"/>
    </xf>
    <xf numFmtId="164" fontId="3" fillId="24" borderId="86" xfId="0" applyNumberFormat="1" applyFont="1" applyFill="1" applyBorder="1" applyAlignment="1">
      <alignment horizontal="right" wrapText="1"/>
    </xf>
    <xf numFmtId="164" fontId="3" fillId="24" borderId="93" xfId="0" applyNumberFormat="1" applyFont="1" applyFill="1" applyBorder="1" applyAlignment="1">
      <alignment horizontal="right" wrapText="1"/>
    </xf>
    <xf numFmtId="164" fontId="7" fillId="24" borderId="86" xfId="0" applyNumberFormat="1" applyFont="1" applyFill="1" applyBorder="1" applyAlignment="1">
      <alignment horizontal="right" wrapText="1"/>
    </xf>
    <xf numFmtId="168" fontId="3" fillId="0" borderId="0" xfId="0" applyNumberFormat="1" applyFont="1"/>
    <xf numFmtId="4" fontId="55" fillId="0" borderId="0" xfId="0" applyNumberFormat="1" applyFont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165" fontId="3" fillId="0" borderId="85" xfId="0" applyNumberFormat="1" applyFont="1" applyFill="1" applyBorder="1"/>
    <xf numFmtId="15" fontId="7" fillId="24" borderId="97" xfId="0" quotePrefix="1" applyNumberFormat="1" applyFont="1" applyFill="1" applyBorder="1" applyAlignment="1">
      <alignment horizontal="center" wrapText="1"/>
    </xf>
    <xf numFmtId="166" fontId="32" fillId="24" borderId="25" xfId="0" applyNumberFormat="1" applyFont="1" applyFill="1" applyBorder="1"/>
    <xf numFmtId="164" fontId="3" fillId="0" borderId="0" xfId="0" applyNumberFormat="1" applyFont="1"/>
    <xf numFmtId="166" fontId="32" fillId="0" borderId="25" xfId="0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14" fontId="30" fillId="0" borderId="44" xfId="35" applyNumberFormat="1" applyFont="1" applyBorder="1" applyAlignment="1">
      <alignment horizontal="center"/>
    </xf>
    <xf numFmtId="14" fontId="30" fillId="0" borderId="45" xfId="35" applyNumberFormat="1" applyFont="1" applyBorder="1" applyAlignment="1">
      <alignment horizontal="center"/>
    </xf>
    <xf numFmtId="164" fontId="61" fillId="24" borderId="12" xfId="0" applyNumberFormat="1" applyFont="1" applyFill="1" applyBorder="1" applyAlignment="1">
      <alignment horizontal="right" wrapText="1"/>
    </xf>
    <xf numFmtId="15" fontId="7" fillId="24" borderId="12" xfId="0" quotePrefix="1" applyNumberFormat="1" applyFont="1" applyFill="1" applyBorder="1" applyAlignment="1">
      <alignment horizontal="center" wrapText="1"/>
    </xf>
    <xf numFmtId="15" fontId="7" fillId="24" borderId="21" xfId="0" quotePrefix="1" applyNumberFormat="1" applyFont="1" applyFill="1" applyBorder="1" applyAlignment="1">
      <alignment horizontal="center" wrapText="1"/>
    </xf>
    <xf numFmtId="4" fontId="32" fillId="0" borderId="55" xfId="0" applyNumberFormat="1" applyFont="1" applyFill="1" applyBorder="1"/>
    <xf numFmtId="4" fontId="32" fillId="24" borderId="86" xfId="0" applyNumberFormat="1" applyFont="1" applyFill="1" applyBorder="1"/>
    <xf numFmtId="4" fontId="32" fillId="24" borderId="55" xfId="0" applyNumberFormat="1" applyFont="1" applyFill="1" applyBorder="1"/>
    <xf numFmtId="164" fontId="61" fillId="24" borderId="0" xfId="0" applyNumberFormat="1" applyFont="1" applyFill="1" applyBorder="1" applyAlignment="1">
      <alignment horizontal="right" wrapText="1"/>
    </xf>
    <xf numFmtId="4" fontId="55" fillId="24" borderId="84" xfId="0" applyNumberFormat="1" applyFont="1" applyFill="1" applyBorder="1"/>
    <xf numFmtId="4" fontId="55" fillId="24" borderId="58" xfId="0" applyNumberFormat="1" applyFont="1" applyFill="1" applyBorder="1"/>
    <xf numFmtId="4" fontId="55" fillId="24" borderId="82" xfId="0" applyNumberFormat="1" applyFont="1" applyFill="1" applyBorder="1"/>
    <xf numFmtId="165" fontId="55" fillId="24" borderId="83" xfId="0" applyNumberFormat="1" applyFont="1" applyFill="1" applyBorder="1"/>
    <xf numFmtId="165" fontId="55" fillId="0" borderId="84" xfId="0" applyNumberFormat="1" applyFont="1" applyBorder="1"/>
    <xf numFmtId="165" fontId="55" fillId="24" borderId="50" xfId="0" applyNumberFormat="1" applyFont="1" applyFill="1" applyBorder="1"/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164" fontId="7" fillId="0" borderId="53" xfId="0" applyNumberFormat="1" applyFont="1" applyFill="1" applyBorder="1" applyAlignment="1">
      <alignment horizontal="right" wrapText="1"/>
    </xf>
    <xf numFmtId="164" fontId="7" fillId="0" borderId="51" xfId="0" applyNumberFormat="1" applyFont="1" applyFill="1" applyBorder="1" applyAlignment="1">
      <alignment horizontal="right" wrapText="1"/>
    </xf>
    <xf numFmtId="164" fontId="7" fillId="0" borderId="55" xfId="0" applyNumberFormat="1" applyFont="1" applyFill="1" applyBorder="1" applyAlignment="1">
      <alignment horizontal="right" wrapText="1"/>
    </xf>
    <xf numFmtId="164" fontId="7" fillId="0" borderId="25" xfId="0" applyNumberFormat="1" applyFont="1" applyFill="1" applyBorder="1" applyAlignment="1">
      <alignment horizontal="right" wrapText="1"/>
    </xf>
    <xf numFmtId="164" fontId="3" fillId="0" borderId="51" xfId="0" applyNumberFormat="1" applyFont="1" applyFill="1" applyBorder="1" applyAlignment="1">
      <alignment horizontal="right" wrapText="1"/>
    </xf>
    <xf numFmtId="164" fontId="3" fillId="0" borderId="25" xfId="0" applyNumberFormat="1" applyFont="1" applyFill="1" applyBorder="1" applyAlignment="1">
      <alignment horizontal="right" wrapText="1"/>
    </xf>
    <xf numFmtId="164" fontId="3" fillId="0" borderId="59" xfId="0" applyNumberFormat="1" applyFont="1" applyFill="1" applyBorder="1" applyAlignment="1">
      <alignment horizontal="right" wrapText="1"/>
    </xf>
    <xf numFmtId="164" fontId="3" fillId="0" borderId="50" xfId="0" applyNumberFormat="1" applyFont="1" applyFill="1" applyBorder="1" applyAlignment="1">
      <alignment horizontal="right" wrapText="1"/>
    </xf>
    <xf numFmtId="164" fontId="7" fillId="0" borderId="59" xfId="0" applyNumberFormat="1" applyFont="1" applyFill="1" applyBorder="1" applyAlignment="1">
      <alignment horizontal="right" wrapText="1"/>
    </xf>
    <xf numFmtId="164" fontId="7" fillId="0" borderId="50" xfId="0" applyNumberFormat="1" applyFont="1" applyFill="1" applyBorder="1" applyAlignment="1">
      <alignment horizontal="right" wrapText="1"/>
    </xf>
    <xf numFmtId="164" fontId="7" fillId="0" borderId="13" xfId="0" applyNumberFormat="1" applyFont="1" applyFill="1" applyBorder="1" applyAlignment="1">
      <alignment horizontal="right" wrapText="1"/>
    </xf>
    <xf numFmtId="165" fontId="3" fillId="0" borderId="51" xfId="0" applyNumberFormat="1" applyFont="1" applyFill="1" applyBorder="1"/>
    <xf numFmtId="4" fontId="3" fillId="0" borderId="58" xfId="0" applyNumberFormat="1" applyFont="1" applyFill="1" applyBorder="1"/>
    <xf numFmtId="166" fontId="3" fillId="0" borderId="52" xfId="0" applyNumberFormat="1" applyFont="1" applyFill="1" applyBorder="1"/>
    <xf numFmtId="165" fontId="3" fillId="0" borderId="50" xfId="0" applyNumberFormat="1" applyFont="1" applyFill="1" applyBorder="1"/>
    <xf numFmtId="166" fontId="3" fillId="0" borderId="35" xfId="0" applyNumberFormat="1" applyFont="1" applyFill="1" applyBorder="1"/>
    <xf numFmtId="164" fontId="7" fillId="24" borderId="50" xfId="0" applyNumberFormat="1" applyFont="1" applyFill="1" applyBorder="1" applyAlignment="1">
      <alignment horizontal="right" wrapText="1"/>
    </xf>
    <xf numFmtId="165" fontId="3" fillId="24" borderId="82" xfId="0" applyNumberFormat="1" applyFont="1" applyFill="1" applyBorder="1"/>
    <xf numFmtId="165" fontId="3" fillId="0" borderId="96" xfId="0" applyNumberFormat="1" applyFont="1" applyBorder="1"/>
    <xf numFmtId="166" fontId="3" fillId="24" borderId="36" xfId="0" applyNumberFormat="1" applyFont="1" applyFill="1" applyBorder="1"/>
    <xf numFmtId="165" fontId="3" fillId="0" borderId="18" xfId="0" applyNumberFormat="1" applyFont="1" applyBorder="1"/>
    <xf numFmtId="4" fontId="7" fillId="0" borderId="96" xfId="0" applyNumberFormat="1" applyFont="1" applyFill="1" applyBorder="1"/>
    <xf numFmtId="4" fontId="3" fillId="0" borderId="96" xfId="0" applyNumberFormat="1" applyFont="1" applyFill="1" applyBorder="1"/>
    <xf numFmtId="166" fontId="3" fillId="0" borderId="35" xfId="0" applyNumberFormat="1" applyFont="1" applyBorder="1"/>
    <xf numFmtId="165" fontId="3" fillId="0" borderId="96" xfId="0" quotePrefix="1" applyNumberFormat="1" applyFont="1" applyBorder="1"/>
    <xf numFmtId="165" fontId="3" fillId="24" borderId="36" xfId="0" applyNumberFormat="1" applyFont="1" applyFill="1" applyBorder="1"/>
    <xf numFmtId="165" fontId="3" fillId="0" borderId="31" xfId="0" applyNumberFormat="1" applyFont="1" applyBorder="1"/>
    <xf numFmtId="165" fontId="3" fillId="24" borderId="35" xfId="0" applyNumberFormat="1" applyFont="1" applyFill="1" applyBorder="1"/>
    <xf numFmtId="164" fontId="7" fillId="24" borderId="14" xfId="0" applyNumberFormat="1" applyFont="1" applyFill="1" applyBorder="1" applyAlignment="1">
      <alignment horizontal="right" wrapText="1"/>
    </xf>
    <xf numFmtId="164" fontId="7" fillId="0" borderId="80" xfId="0" applyNumberFormat="1" applyFont="1" applyFill="1" applyBorder="1" applyAlignment="1">
      <alignment horizontal="right" wrapText="1"/>
    </xf>
    <xf numFmtId="164" fontId="3" fillId="0" borderId="81" xfId="0" applyNumberFormat="1" applyFont="1" applyFill="1" applyBorder="1" applyAlignment="1">
      <alignment horizontal="right" wrapText="1"/>
    </xf>
    <xf numFmtId="164" fontId="7" fillId="24" borderId="81" xfId="0" applyNumberFormat="1" applyFont="1" applyFill="1" applyBorder="1" applyAlignment="1">
      <alignment horizontal="right" wrapText="1"/>
    </xf>
    <xf numFmtId="4" fontId="3" fillId="24" borderId="84" xfId="0" applyNumberFormat="1" applyFont="1" applyFill="1" applyBorder="1"/>
    <xf numFmtId="166" fontId="3" fillId="24" borderId="35" xfId="0" applyNumberFormat="1" applyFont="1" applyFill="1" applyBorder="1"/>
    <xf numFmtId="165" fontId="3" fillId="0" borderId="31" xfId="122" applyNumberFormat="1" applyFont="1" applyFill="1" applyBorder="1" applyAlignment="1">
      <alignment horizontal="right" vertical="top"/>
    </xf>
    <xf numFmtId="165" fontId="3" fillId="0" borderId="81" xfId="0" applyNumberFormat="1" applyFont="1" applyBorder="1"/>
    <xf numFmtId="165" fontId="3" fillId="0" borderId="31" xfId="122" applyNumberFormat="1" applyFont="1" applyBorder="1" applyAlignment="1">
      <alignment horizontal="right" vertical="top"/>
    </xf>
    <xf numFmtId="165" fontId="3" fillId="0" borderId="85" xfId="122" applyNumberFormat="1" applyFont="1" applyBorder="1" applyAlignment="1">
      <alignment horizontal="right" vertical="top"/>
    </xf>
    <xf numFmtId="165" fontId="3" fillId="24" borderId="83" xfId="0" applyNumberFormat="1" applyFont="1" applyFill="1" applyBorder="1"/>
    <xf numFmtId="165" fontId="3" fillId="0" borderId="85" xfId="122" applyNumberFormat="1" applyFont="1" applyFill="1" applyBorder="1" applyAlignment="1">
      <alignment horizontal="right" vertical="top"/>
    </xf>
    <xf numFmtId="165" fontId="3" fillId="0" borderId="45" xfId="122" applyNumberFormat="1" applyFont="1" applyBorder="1" applyAlignment="1">
      <alignment horizontal="right" vertical="top"/>
    </xf>
    <xf numFmtId="165" fontId="3" fillId="0" borderId="19" xfId="0" applyNumberFormat="1" applyFont="1" applyBorder="1"/>
    <xf numFmtId="165" fontId="3" fillId="0" borderId="35" xfId="122" applyNumberFormat="1" applyFont="1" applyFill="1" applyBorder="1" applyAlignment="1">
      <alignment horizontal="right" vertical="top"/>
    </xf>
    <xf numFmtId="165" fontId="3" fillId="0" borderId="49" xfId="122" applyNumberFormat="1" applyFont="1" applyBorder="1" applyAlignment="1">
      <alignment horizontal="right" vertical="top"/>
    </xf>
    <xf numFmtId="165" fontId="3" fillId="0" borderId="95" xfId="122" applyNumberFormat="1" applyFont="1" applyBorder="1" applyAlignment="1">
      <alignment horizontal="right" vertical="top"/>
    </xf>
    <xf numFmtId="165" fontId="3" fillId="0" borderId="35" xfId="122" applyNumberFormat="1" applyFont="1" applyBorder="1" applyAlignment="1">
      <alignment horizontal="right" vertical="top"/>
    </xf>
    <xf numFmtId="165" fontId="3" fillId="0" borderId="36" xfId="122" applyNumberFormat="1" applyFont="1" applyBorder="1" applyAlignment="1">
      <alignment horizontal="right" vertical="top"/>
    </xf>
    <xf numFmtId="166" fontId="3" fillId="0" borderId="31" xfId="0" applyNumberFormat="1" applyFont="1" applyFill="1" applyBorder="1"/>
    <xf numFmtId="166" fontId="3" fillId="24" borderId="31" xfId="0" applyNumberFormat="1" applyFont="1" applyFill="1" applyBorder="1"/>
    <xf numFmtId="165" fontId="3" fillId="24" borderId="31" xfId="0" applyNumberFormat="1" applyFont="1" applyFill="1" applyBorder="1"/>
    <xf numFmtId="165" fontId="3" fillId="24" borderId="55" xfId="0" applyNumberFormat="1" applyFont="1" applyFill="1" applyBorder="1"/>
    <xf numFmtId="166" fontId="3" fillId="24" borderId="96" xfId="0" applyNumberFormat="1" applyFont="1" applyFill="1" applyBorder="1"/>
    <xf numFmtId="166" fontId="3" fillId="0" borderId="25" xfId="0" applyNumberFormat="1" applyFont="1" applyFill="1" applyBorder="1"/>
    <xf numFmtId="166" fontId="3" fillId="0" borderId="86" xfId="0" applyNumberFormat="1" applyFont="1" applyFill="1" applyBorder="1"/>
    <xf numFmtId="164" fontId="7" fillId="0" borderId="12" xfId="0" applyNumberFormat="1" applyFont="1" applyFill="1" applyBorder="1" applyAlignment="1">
      <alignment horizontal="right" wrapText="1"/>
    </xf>
    <xf numFmtId="165" fontId="3" fillId="24" borderId="50" xfId="0" applyNumberFormat="1" applyFont="1" applyFill="1" applyBorder="1" applyAlignment="1">
      <alignment horizontal="right"/>
    </xf>
    <xf numFmtId="166" fontId="3" fillId="24" borderId="36" xfId="0" applyNumberFormat="1" applyFont="1" applyFill="1" applyBorder="1" applyAlignment="1">
      <alignment horizontal="right"/>
    </xf>
    <xf numFmtId="0" fontId="7" fillId="24" borderId="29" xfId="0" applyFont="1" applyFill="1" applyBorder="1" applyAlignment="1">
      <alignment horizontal="center" wrapText="1"/>
    </xf>
    <xf numFmtId="0" fontId="7" fillId="24" borderId="53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5" fillId="24" borderId="47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0" fontId="0" fillId="0" borderId="0" xfId="0" applyAlignment="1"/>
    <xf numFmtId="0" fontId="0" fillId="0" borderId="47" xfId="0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0" fontId="7" fillId="24" borderId="11" xfId="0" applyFont="1" applyFill="1" applyBorder="1" applyAlignment="1">
      <alignment wrapText="1"/>
    </xf>
    <xf numFmtId="0" fontId="7" fillId="24" borderId="54" xfId="0" applyFont="1" applyFill="1" applyBorder="1" applyAlignment="1">
      <alignment wrapText="1"/>
    </xf>
    <xf numFmtId="0" fontId="7" fillId="24" borderId="5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7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47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3" fillId="0" borderId="0" xfId="0" applyFont="1" applyAlignment="1"/>
    <xf numFmtId="0" fontId="7" fillId="24" borderId="10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wrapText="1"/>
    </xf>
  </cellXfs>
  <cellStyles count="127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y" xfId="27" builtinId="26" customBuiltin="1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y" xfId="34" builtinId="28" customBuiltin="1"/>
    <cellStyle name="Normalny" xfId="0" builtinId="0"/>
    <cellStyle name="Normalny 2" xfId="44"/>
    <cellStyle name="Normalny 2 2" xfId="124"/>
    <cellStyle name="Normalny 3" xfId="50"/>
    <cellStyle name="Normalny 3 2" xfId="123"/>
    <cellStyle name="Normalny 4" xfId="56"/>
    <cellStyle name="Normalny 4 2" xfId="112"/>
    <cellStyle name="Normalny 5" xfId="98"/>
    <cellStyle name="Normalny 5 2" xfId="119"/>
    <cellStyle name="Normalny 6" xfId="101"/>
    <cellStyle name="Normalny 7" xfId="121"/>
    <cellStyle name="Normalny 8" xfId="125"/>
    <cellStyle name="Normalny_Arkusz1" xfId="35"/>
    <cellStyle name="Normalny_Arkusz1 2" xfId="122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Procentowy 2" xfId="126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y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S81"/>
  <sheetViews>
    <sheetView zoomScale="80" zoomScaleNormal="80" workbookViewId="0">
      <selection activeCell="G21" sqref="G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9.5703125" customWidth="1"/>
    <col min="8" max="8" width="15.85546875" customWidth="1"/>
    <col min="16" max="16" width="16" bestFit="1" customWidth="1"/>
    <col min="18" max="18" width="16.140625" bestFit="1" customWidth="1"/>
    <col min="19" max="19" width="14.42578125" bestFit="1" customWidth="1"/>
  </cols>
  <sheetData>
    <row r="1" spans="2:8">
      <c r="B1" s="1"/>
      <c r="C1" s="1"/>
      <c r="D1" s="2"/>
      <c r="E1" s="2"/>
    </row>
    <row r="2" spans="2:8" ht="15.75">
      <c r="B2" s="349" t="s">
        <v>0</v>
      </c>
      <c r="C2" s="349"/>
      <c r="D2" s="349"/>
      <c r="E2" s="349"/>
      <c r="H2" s="71"/>
    </row>
    <row r="3" spans="2:8" ht="15.75">
      <c r="B3" s="349" t="s">
        <v>272</v>
      </c>
      <c r="C3" s="349"/>
      <c r="D3" s="349"/>
      <c r="E3" s="349"/>
    </row>
    <row r="4" spans="2:8" ht="15">
      <c r="B4" s="84"/>
      <c r="C4" s="84"/>
      <c r="D4" s="84"/>
      <c r="E4" s="84"/>
    </row>
    <row r="5" spans="2:8" ht="14.25">
      <c r="B5" s="350" t="s">
        <v>1</v>
      </c>
      <c r="C5" s="350"/>
      <c r="D5" s="350"/>
      <c r="E5" s="350"/>
    </row>
    <row r="6" spans="2:8" ht="14.25" customHeight="1">
      <c r="B6" s="351" t="s">
        <v>84</v>
      </c>
      <c r="C6" s="351"/>
      <c r="D6" s="351"/>
      <c r="E6" s="351"/>
    </row>
    <row r="7" spans="2:8" ht="14.25">
      <c r="B7" s="165"/>
      <c r="C7" s="165"/>
      <c r="D7" s="165"/>
      <c r="E7" s="165"/>
    </row>
    <row r="8" spans="2:8" ht="12.75" customHeight="1">
      <c r="B8" s="353" t="s">
        <v>18</v>
      </c>
      <c r="C8" s="353"/>
      <c r="D8" s="353"/>
      <c r="E8" s="353"/>
    </row>
    <row r="9" spans="2:8" ht="15.75" customHeight="1" thickBot="1">
      <c r="B9" s="352" t="s">
        <v>103</v>
      </c>
      <c r="C9" s="352"/>
      <c r="D9" s="352"/>
      <c r="E9" s="352"/>
    </row>
    <row r="10" spans="2:8" ht="13.5" thickBot="1">
      <c r="B10" s="166"/>
      <c r="C10" s="75" t="s">
        <v>2</v>
      </c>
      <c r="D10" s="271" t="s">
        <v>250</v>
      </c>
      <c r="E10" s="270" t="s">
        <v>264</v>
      </c>
    </row>
    <row r="11" spans="2:8">
      <c r="B11" s="89" t="s">
        <v>3</v>
      </c>
      <c r="C11" s="190" t="s">
        <v>109</v>
      </c>
      <c r="D11" s="228">
        <v>156907908.44</v>
      </c>
      <c r="E11" s="229">
        <f>SUM(E12:E14)</f>
        <v>148404032.07000002</v>
      </c>
    </row>
    <row r="12" spans="2:8">
      <c r="B12" s="105" t="s">
        <v>4</v>
      </c>
      <c r="C12" s="68" t="s">
        <v>5</v>
      </c>
      <c r="D12" s="245">
        <v>156907908.44</v>
      </c>
      <c r="E12" s="251">
        <f>48303660+107525467.11-7447573.03</f>
        <v>148381554.08000001</v>
      </c>
    </row>
    <row r="13" spans="2:8" ht="12.75" customHeight="1">
      <c r="B13" s="105" t="s">
        <v>6</v>
      </c>
      <c r="C13" s="68" t="s">
        <v>7</v>
      </c>
      <c r="D13" s="241"/>
      <c r="E13" s="252"/>
    </row>
    <row r="14" spans="2:8">
      <c r="B14" s="105" t="s">
        <v>8</v>
      </c>
      <c r="C14" s="68" t="s">
        <v>10</v>
      </c>
      <c r="D14" s="241"/>
      <c r="E14" s="252">
        <f>E15</f>
        <v>22477.99</v>
      </c>
    </row>
    <row r="15" spans="2:8">
      <c r="B15" s="105" t="s">
        <v>106</v>
      </c>
      <c r="C15" s="68" t="s">
        <v>11</v>
      </c>
      <c r="D15" s="241"/>
      <c r="E15" s="252">
        <v>22477.99</v>
      </c>
    </row>
    <row r="16" spans="2:8">
      <c r="B16" s="106" t="s">
        <v>107</v>
      </c>
      <c r="C16" s="90" t="s">
        <v>12</v>
      </c>
      <c r="D16" s="243"/>
      <c r="E16" s="253"/>
    </row>
    <row r="17" spans="2:8">
      <c r="B17" s="9" t="s">
        <v>13</v>
      </c>
      <c r="C17" s="212" t="s">
        <v>65</v>
      </c>
      <c r="D17" s="244">
        <v>538113.80000000005</v>
      </c>
      <c r="E17" s="254">
        <f>E18</f>
        <v>84284.29</v>
      </c>
    </row>
    <row r="18" spans="2:8">
      <c r="B18" s="105" t="s">
        <v>4</v>
      </c>
      <c r="C18" s="68" t="s">
        <v>11</v>
      </c>
      <c r="D18" s="243">
        <v>538113.80000000005</v>
      </c>
      <c r="E18" s="253">
        <v>84284.29</v>
      </c>
    </row>
    <row r="19" spans="2:8" ht="15" customHeight="1">
      <c r="B19" s="105" t="s">
        <v>6</v>
      </c>
      <c r="C19" s="68" t="s">
        <v>108</v>
      </c>
      <c r="D19" s="241"/>
      <c r="E19" s="252"/>
    </row>
    <row r="20" spans="2:8" ht="13.5" thickBot="1">
      <c r="B20" s="107" t="s">
        <v>8</v>
      </c>
      <c r="C20" s="69" t="s">
        <v>14</v>
      </c>
      <c r="D20" s="230"/>
      <c r="E20" s="231"/>
    </row>
    <row r="21" spans="2:8" ht="13.5" customHeight="1" thickBot="1">
      <c r="B21" s="357" t="s">
        <v>110</v>
      </c>
      <c r="C21" s="358"/>
      <c r="D21" s="232">
        <v>156369794.63999999</v>
      </c>
      <c r="E21" s="147">
        <f>E11-E17</f>
        <v>148319747.78000003</v>
      </c>
      <c r="F21" s="76"/>
      <c r="G21" s="160"/>
    </row>
    <row r="22" spans="2:8">
      <c r="B22" s="3"/>
      <c r="C22" s="7"/>
      <c r="D22" s="8"/>
      <c r="E22" s="8"/>
    </row>
    <row r="23" spans="2:8" ht="14.25" customHeight="1">
      <c r="B23" s="353" t="s">
        <v>104</v>
      </c>
      <c r="C23" s="353"/>
      <c r="D23" s="353"/>
      <c r="E23" s="353"/>
    </row>
    <row r="24" spans="2:8" ht="16.5" customHeight="1" thickBot="1">
      <c r="B24" s="352" t="s">
        <v>105</v>
      </c>
      <c r="C24" s="352"/>
      <c r="D24" s="352"/>
      <c r="E24" s="352"/>
    </row>
    <row r="25" spans="2:8" ht="13.5" thickBot="1">
      <c r="B25" s="166"/>
      <c r="C25" s="5" t="s">
        <v>2</v>
      </c>
      <c r="D25" s="271" t="s">
        <v>265</v>
      </c>
      <c r="E25" s="270" t="s">
        <v>264</v>
      </c>
    </row>
    <row r="26" spans="2:8">
      <c r="B26" s="94" t="s">
        <v>15</v>
      </c>
      <c r="C26" s="95" t="s">
        <v>16</v>
      </c>
      <c r="D26" s="290">
        <v>194170617.97</v>
      </c>
      <c r="E26" s="235">
        <f>D21</f>
        <v>156369794.63999999</v>
      </c>
      <c r="F26" s="155"/>
    </row>
    <row r="27" spans="2:8">
      <c r="B27" s="282" t="s">
        <v>17</v>
      </c>
      <c r="C27" s="283" t="s">
        <v>111</v>
      </c>
      <c r="D27" s="291">
        <v>-9367330.6600000001</v>
      </c>
      <c r="E27" s="292">
        <f>E28-E32</f>
        <v>-8115898.4099999983</v>
      </c>
      <c r="F27" s="156"/>
      <c r="G27" s="67"/>
      <c r="H27" s="67"/>
    </row>
    <row r="28" spans="2:8">
      <c r="B28" s="282" t="s">
        <v>18</v>
      </c>
      <c r="C28" s="283" t="s">
        <v>19</v>
      </c>
      <c r="D28" s="291">
        <v>3987587.75</v>
      </c>
      <c r="E28" s="293">
        <v>3053803.0500000003</v>
      </c>
      <c r="F28" s="156"/>
    </row>
    <row r="29" spans="2:8">
      <c r="B29" s="284" t="s">
        <v>4</v>
      </c>
      <c r="C29" s="285" t="s">
        <v>20</v>
      </c>
      <c r="D29" s="294">
        <v>2464932.84</v>
      </c>
      <c r="E29" s="295">
        <v>1180507.8400000001</v>
      </c>
      <c r="F29" s="156"/>
    </row>
    <row r="30" spans="2:8">
      <c r="B30" s="284" t="s">
        <v>6</v>
      </c>
      <c r="C30" s="285" t="s">
        <v>21</v>
      </c>
      <c r="D30" s="294"/>
      <c r="E30" s="295"/>
      <c r="F30" s="156"/>
    </row>
    <row r="31" spans="2:8">
      <c r="B31" s="284" t="s">
        <v>8</v>
      </c>
      <c r="C31" s="285" t="s">
        <v>22</v>
      </c>
      <c r="D31" s="294">
        <v>1522654.91</v>
      </c>
      <c r="E31" s="295">
        <v>1873295.21</v>
      </c>
      <c r="F31" s="156"/>
    </row>
    <row r="32" spans="2:8">
      <c r="B32" s="286" t="s">
        <v>23</v>
      </c>
      <c r="C32" s="287" t="s">
        <v>24</v>
      </c>
      <c r="D32" s="291">
        <v>13354918.41</v>
      </c>
      <c r="E32" s="293">
        <f>SUM(E33:E39)</f>
        <v>11169701.459999999</v>
      </c>
      <c r="F32" s="156"/>
    </row>
    <row r="33" spans="2:19">
      <c r="B33" s="284" t="s">
        <v>4</v>
      </c>
      <c r="C33" s="285" t="s">
        <v>25</v>
      </c>
      <c r="D33" s="294">
        <v>12062437.4</v>
      </c>
      <c r="E33" s="295">
        <f>9793792.42+65</f>
        <v>9793857.4199999999</v>
      </c>
      <c r="F33" s="156"/>
    </row>
    <row r="34" spans="2:19">
      <c r="B34" s="284" t="s">
        <v>6</v>
      </c>
      <c r="C34" s="285" t="s">
        <v>26</v>
      </c>
      <c r="D34" s="294"/>
      <c r="E34" s="295"/>
      <c r="F34" s="156"/>
    </row>
    <row r="35" spans="2:19">
      <c r="B35" s="284" t="s">
        <v>8</v>
      </c>
      <c r="C35" s="285" t="s">
        <v>27</v>
      </c>
      <c r="D35" s="294">
        <v>773334.17999999993</v>
      </c>
      <c r="E35" s="295">
        <v>653269.35</v>
      </c>
      <c r="F35" s="156"/>
    </row>
    <row r="36" spans="2:19">
      <c r="B36" s="284" t="s">
        <v>9</v>
      </c>
      <c r="C36" s="285" t="s">
        <v>28</v>
      </c>
      <c r="D36" s="294"/>
      <c r="E36" s="295"/>
      <c r="F36" s="156"/>
    </row>
    <row r="37" spans="2:19" ht="25.5">
      <c r="B37" s="284" t="s">
        <v>29</v>
      </c>
      <c r="C37" s="285" t="s">
        <v>30</v>
      </c>
      <c r="D37" s="294"/>
      <c r="E37" s="295"/>
      <c r="F37" s="156"/>
      <c r="P37" s="255"/>
    </row>
    <row r="38" spans="2:19">
      <c r="B38" s="284" t="s">
        <v>31</v>
      </c>
      <c r="C38" s="285" t="s">
        <v>32</v>
      </c>
      <c r="D38" s="294"/>
      <c r="E38" s="295"/>
      <c r="F38" s="156"/>
      <c r="P38" s="189"/>
    </row>
    <row r="39" spans="2:19">
      <c r="B39" s="288" t="s">
        <v>33</v>
      </c>
      <c r="C39" s="289" t="s">
        <v>34</v>
      </c>
      <c r="D39" s="296">
        <v>519146.83</v>
      </c>
      <c r="E39" s="297">
        <v>722574.69</v>
      </c>
      <c r="F39" s="156"/>
      <c r="P39" s="71"/>
      <c r="R39" s="67"/>
      <c r="S39" s="67"/>
    </row>
    <row r="40" spans="2:19" ht="13.5" thickBot="1">
      <c r="B40" s="96" t="s">
        <v>35</v>
      </c>
      <c r="C40" s="97" t="s">
        <v>36</v>
      </c>
      <c r="D40" s="298">
        <v>-291144.19</v>
      </c>
      <c r="E40" s="299">
        <v>65851.55</v>
      </c>
      <c r="F40" s="155"/>
    </row>
    <row r="41" spans="2:19" ht="13.5" thickBot="1">
      <c r="B41" s="98" t="s">
        <v>37</v>
      </c>
      <c r="C41" s="99" t="s">
        <v>38</v>
      </c>
      <c r="D41" s="300">
        <v>184512143.12</v>
      </c>
      <c r="E41" s="344">
        <f>E26+E27+E40</f>
        <v>148319747.78</v>
      </c>
      <c r="F41" s="157"/>
    </row>
    <row r="42" spans="2:19" ht="13.5" customHeight="1">
      <c r="B42" s="92"/>
      <c r="C42" s="92"/>
      <c r="D42" s="93"/>
      <c r="E42" s="93"/>
      <c r="F42" s="76"/>
    </row>
    <row r="43" spans="2:19" ht="13.5">
      <c r="B43" s="354" t="s">
        <v>60</v>
      </c>
      <c r="C43" s="355"/>
      <c r="D43" s="355"/>
      <c r="E43" s="355"/>
    </row>
    <row r="44" spans="2:19" ht="19.5" customHeight="1" thickBot="1">
      <c r="B44" s="352" t="s">
        <v>121</v>
      </c>
      <c r="C44" s="356"/>
      <c r="D44" s="356"/>
      <c r="E44" s="356"/>
    </row>
    <row r="45" spans="2:19" ht="13.5" thickBot="1">
      <c r="B45" s="4"/>
      <c r="C45" s="29" t="s">
        <v>39</v>
      </c>
      <c r="D45" s="271" t="s">
        <v>265</v>
      </c>
      <c r="E45" s="270" t="s">
        <v>264</v>
      </c>
    </row>
    <row r="46" spans="2:19">
      <c r="B46" s="13" t="s">
        <v>18</v>
      </c>
      <c r="C46" s="30" t="s">
        <v>112</v>
      </c>
      <c r="D46" s="158"/>
      <c r="E46" s="159"/>
    </row>
    <row r="47" spans="2:19">
      <c r="B47" s="101" t="s">
        <v>4</v>
      </c>
      <c r="C47" s="15" t="s">
        <v>40</v>
      </c>
      <c r="D47" s="301">
        <v>8601364.3599500004</v>
      </c>
      <c r="E47" s="233">
        <v>6977385.5436999993</v>
      </c>
    </row>
    <row r="48" spans="2:19">
      <c r="B48" s="122" t="s">
        <v>6</v>
      </c>
      <c r="C48" s="22" t="s">
        <v>41</v>
      </c>
      <c r="D48" s="301">
        <v>8256167.9189561652</v>
      </c>
      <c r="E48" s="304">
        <v>6615440.7533999998</v>
      </c>
    </row>
    <row r="49" spans="2:5">
      <c r="B49" s="119" t="s">
        <v>23</v>
      </c>
      <c r="C49" s="123" t="s">
        <v>113</v>
      </c>
      <c r="D49" s="302"/>
      <c r="E49" s="272"/>
    </row>
    <row r="50" spans="2:5">
      <c r="B50" s="101" t="s">
        <v>4</v>
      </c>
      <c r="C50" s="15" t="s">
        <v>40</v>
      </c>
      <c r="D50" s="301">
        <v>22.574397484430001</v>
      </c>
      <c r="E50" s="234">
        <v>22.410900000000002</v>
      </c>
    </row>
    <row r="51" spans="2:5">
      <c r="B51" s="101" t="s">
        <v>6</v>
      </c>
      <c r="C51" s="15" t="s">
        <v>114</v>
      </c>
      <c r="D51" s="301">
        <v>20.301200000000001</v>
      </c>
      <c r="E51" s="337">
        <v>22.377099999999999</v>
      </c>
    </row>
    <row r="52" spans="2:5">
      <c r="B52" s="101" t="s">
        <v>8</v>
      </c>
      <c r="C52" s="15" t="s">
        <v>115</v>
      </c>
      <c r="D52" s="301">
        <v>22.393699999999999</v>
      </c>
      <c r="E52" s="337">
        <v>22.439599999999999</v>
      </c>
    </row>
    <row r="53" spans="2:5" ht="13.5" thickBot="1">
      <c r="B53" s="102" t="s">
        <v>9</v>
      </c>
      <c r="C53" s="17" t="s">
        <v>41</v>
      </c>
      <c r="D53" s="303">
        <v>22.348400000000002</v>
      </c>
      <c r="E53" s="305">
        <v>22.420200000000001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D59+D61+D69</f>
        <v>148381554.07999998</v>
      </c>
      <c r="E58" s="31">
        <f>D58/E21</f>
        <v>1.0004167098510148</v>
      </c>
    </row>
    <row r="59" spans="2:5" ht="25.5">
      <c r="B59" s="122" t="s">
        <v>4</v>
      </c>
      <c r="C59" s="22" t="s">
        <v>44</v>
      </c>
      <c r="D59" s="79">
        <f>48303660-7447573.03</f>
        <v>40856086.969999999</v>
      </c>
      <c r="E59" s="80">
        <f>D59/E21</f>
        <v>0.27545952296656467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82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v>0</v>
      </c>
      <c r="E64" s="80">
        <v>0</v>
      </c>
    </row>
    <row r="65" spans="2:5" ht="13.5" customHeight="1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107525467.11</v>
      </c>
      <c r="E69" s="78">
        <f>D69/E21</f>
        <v>0.72495718688445021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f>E13</f>
        <v>0</v>
      </c>
      <c r="E71" s="66">
        <f>D71/E21</f>
        <v>0</v>
      </c>
    </row>
    <row r="72" spans="2:5">
      <c r="B72" s="130" t="s">
        <v>60</v>
      </c>
      <c r="C72" s="116" t="s">
        <v>63</v>
      </c>
      <c r="D72" s="117">
        <f>E14</f>
        <v>22477.99</v>
      </c>
      <c r="E72" s="118">
        <f>D72/E21</f>
        <v>1.5155089147900381E-4</v>
      </c>
    </row>
    <row r="73" spans="2:5">
      <c r="B73" s="131" t="s">
        <v>62</v>
      </c>
      <c r="C73" s="24" t="s">
        <v>65</v>
      </c>
      <c r="D73" s="25">
        <f>E17</f>
        <v>84284.29</v>
      </c>
      <c r="E73" s="26">
        <f>D73/E21</f>
        <v>5.6826074249409692E-4</v>
      </c>
    </row>
    <row r="74" spans="2:5">
      <c r="B74" s="129" t="s">
        <v>64</v>
      </c>
      <c r="C74" s="120" t="s">
        <v>66</v>
      </c>
      <c r="D74" s="121">
        <f>D58-D73+D72</f>
        <v>148319747.78</v>
      </c>
      <c r="E74" s="66">
        <f>E58+E72-E73</f>
        <v>0.99999999999999989</v>
      </c>
    </row>
    <row r="75" spans="2:5">
      <c r="B75" s="101" t="s">
        <v>4</v>
      </c>
      <c r="C75" s="15" t="s">
        <v>67</v>
      </c>
      <c r="D75" s="77">
        <f>D74</f>
        <v>148319747.78</v>
      </c>
      <c r="E75" s="78">
        <f>E74</f>
        <v>0.99999999999999989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9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90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16982951.720000003</v>
      </c>
      <c r="E11" s="229">
        <f>SUM(E12:E14)</f>
        <v>16038646.290000001</v>
      </c>
    </row>
    <row r="12" spans="2:7">
      <c r="B12" s="105" t="s">
        <v>4</v>
      </c>
      <c r="C12" s="6" t="s">
        <v>5</v>
      </c>
      <c r="D12" s="245">
        <v>16914860.510000002</v>
      </c>
      <c r="E12" s="251">
        <f>15981979.23+183951.5-174322.59</f>
        <v>15991608.140000001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>
        <v>68091.210000000006</v>
      </c>
      <c r="E14" s="252">
        <f>E15</f>
        <v>47038.15</v>
      </c>
    </row>
    <row r="15" spans="2:7">
      <c r="B15" s="105" t="s">
        <v>106</v>
      </c>
      <c r="C15" s="68" t="s">
        <v>11</v>
      </c>
      <c r="D15" s="241">
        <v>68091.210000000006</v>
      </c>
      <c r="E15" s="252">
        <v>47038.15</v>
      </c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32269.11</v>
      </c>
      <c r="E17" s="254">
        <f>E18</f>
        <v>29907.25</v>
      </c>
    </row>
    <row r="18" spans="2:6">
      <c r="B18" s="105" t="s">
        <v>4</v>
      </c>
      <c r="C18" s="6" t="s">
        <v>11</v>
      </c>
      <c r="D18" s="243">
        <v>32269.11</v>
      </c>
      <c r="E18" s="253">
        <v>29907.25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16950682.610000003</v>
      </c>
      <c r="E21" s="147">
        <f>E11-E17</f>
        <v>16008739.040000001</v>
      </c>
      <c r="F21" s="76"/>
    </row>
    <row r="22" spans="2:6">
      <c r="B22" s="3"/>
      <c r="C22" s="7"/>
      <c r="D22" s="8"/>
      <c r="E22" s="8"/>
    </row>
    <row r="23" spans="2:6" ht="15.75">
      <c r="B23" s="353"/>
      <c r="C23" s="361"/>
      <c r="D23" s="361"/>
      <c r="E23" s="361"/>
    </row>
    <row r="24" spans="2:6" ht="18" customHeight="1" thickBot="1">
      <c r="B24" s="352" t="s">
        <v>105</v>
      </c>
      <c r="C24" s="362"/>
      <c r="D24" s="362"/>
      <c r="E24" s="362"/>
    </row>
    <row r="25" spans="2:6" ht="13.5" thickBot="1">
      <c r="B25" s="85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16831070.630000003</v>
      </c>
      <c r="E26" s="219">
        <f>D21</f>
        <v>16950682.610000003</v>
      </c>
    </row>
    <row r="27" spans="2:6">
      <c r="B27" s="9" t="s">
        <v>17</v>
      </c>
      <c r="C27" s="10" t="s">
        <v>111</v>
      </c>
      <c r="D27" s="198">
        <v>104587.50000000023</v>
      </c>
      <c r="E27" s="292">
        <f>E28-E32</f>
        <v>-418264.04999999981</v>
      </c>
      <c r="F27" s="71"/>
    </row>
    <row r="28" spans="2:6">
      <c r="B28" s="9" t="s">
        <v>18</v>
      </c>
      <c r="C28" s="10" t="s">
        <v>19</v>
      </c>
      <c r="D28" s="198">
        <v>1643402.2600000002</v>
      </c>
      <c r="E28" s="293">
        <v>1394976.1400000001</v>
      </c>
      <c r="F28" s="71"/>
    </row>
    <row r="29" spans="2:6">
      <c r="B29" s="103" t="s">
        <v>4</v>
      </c>
      <c r="C29" s="6" t="s">
        <v>20</v>
      </c>
      <c r="D29" s="199">
        <v>1484273.9400000002</v>
      </c>
      <c r="E29" s="295">
        <v>1291455.1700000002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159128.32000000001</v>
      </c>
      <c r="E31" s="295">
        <v>103520.97</v>
      </c>
      <c r="F31" s="71"/>
    </row>
    <row r="32" spans="2:6">
      <c r="B32" s="91" t="s">
        <v>23</v>
      </c>
      <c r="C32" s="11" t="s">
        <v>24</v>
      </c>
      <c r="D32" s="198">
        <v>1538814.76</v>
      </c>
      <c r="E32" s="293">
        <f>SUM(E33:E39)</f>
        <v>1813240.19</v>
      </c>
      <c r="F32" s="71"/>
    </row>
    <row r="33" spans="2:6">
      <c r="B33" s="103" t="s">
        <v>4</v>
      </c>
      <c r="C33" s="6" t="s">
        <v>25</v>
      </c>
      <c r="D33" s="199">
        <v>1005133.3</v>
      </c>
      <c r="E33" s="295">
        <f>864387.08+46601.89</f>
        <v>910988.97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238587.22999999998</v>
      </c>
      <c r="E35" s="295">
        <v>227983.11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295094.23</v>
      </c>
      <c r="E39" s="297">
        <v>674268.11</v>
      </c>
      <c r="F39" s="71"/>
    </row>
    <row r="40" spans="2:6" ht="13.5" thickBot="1">
      <c r="B40" s="96" t="s">
        <v>35</v>
      </c>
      <c r="C40" s="97" t="s">
        <v>36</v>
      </c>
      <c r="D40" s="201">
        <v>579676.81999999995</v>
      </c>
      <c r="E40" s="306">
        <v>-523679.52</v>
      </c>
    </row>
    <row r="41" spans="2:6" ht="13.5" thickBot="1">
      <c r="B41" s="98" t="s">
        <v>37</v>
      </c>
      <c r="C41" s="99" t="s">
        <v>38</v>
      </c>
      <c r="D41" s="202">
        <v>17515334.950000003</v>
      </c>
      <c r="E41" s="147">
        <f>E26+E27+E40</f>
        <v>16008739.040000003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7.25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1617609.36784</v>
      </c>
      <c r="E47" s="73">
        <v>1635876.2345</v>
      </c>
    </row>
    <row r="48" spans="2:6">
      <c r="B48" s="122" t="s">
        <v>6</v>
      </c>
      <c r="C48" s="22" t="s">
        <v>41</v>
      </c>
      <c r="D48" s="203">
        <v>1627849.4906968526</v>
      </c>
      <c r="E48" s="316">
        <v>1590697.6109</v>
      </c>
    </row>
    <row r="49" spans="2:5">
      <c r="B49" s="119" t="s">
        <v>23</v>
      </c>
      <c r="C49" s="123" t="s">
        <v>113</v>
      </c>
      <c r="D49" s="204"/>
      <c r="E49" s="124"/>
    </row>
    <row r="50" spans="2:5">
      <c r="B50" s="101" t="s">
        <v>4</v>
      </c>
      <c r="C50" s="15" t="s">
        <v>40</v>
      </c>
      <c r="D50" s="203">
        <v>10.4049042770367</v>
      </c>
      <c r="E50" s="73">
        <v>10.361800000000001</v>
      </c>
    </row>
    <row r="51" spans="2:5">
      <c r="B51" s="101" t="s">
        <v>6</v>
      </c>
      <c r="C51" s="15" t="s">
        <v>114</v>
      </c>
      <c r="D51" s="203">
        <v>10.185700000000001</v>
      </c>
      <c r="E51" s="74">
        <v>7.0829000000000004</v>
      </c>
    </row>
    <row r="52" spans="2:5" ht="12.75" customHeight="1">
      <c r="B52" s="101" t="s">
        <v>8</v>
      </c>
      <c r="C52" s="15" t="s">
        <v>115</v>
      </c>
      <c r="D52" s="203">
        <v>11.3018</v>
      </c>
      <c r="E52" s="74">
        <v>10.749700000000001</v>
      </c>
    </row>
    <row r="53" spans="2:5" ht="13.5" thickBot="1">
      <c r="B53" s="102" t="s">
        <v>9</v>
      </c>
      <c r="C53" s="17" t="s">
        <v>41</v>
      </c>
      <c r="D53" s="205">
        <v>10.7598</v>
      </c>
      <c r="E53" s="309">
        <v>10.064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15991608.140000001</v>
      </c>
      <c r="E58" s="31">
        <f>D58/E21</f>
        <v>0.99892990322615693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f>15981979.23-174322.59</f>
        <v>15807656.640000001</v>
      </c>
      <c r="E64" s="80">
        <f>D64/E21</f>
        <v>0.98743921057757467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183951.5</v>
      </c>
      <c r="E69" s="78">
        <f>D69/E21</f>
        <v>1.149069264858227E-2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47038.15</v>
      </c>
      <c r="E72" s="118">
        <f>D72/E21</f>
        <v>2.9382795161110951E-3</v>
      </c>
    </row>
    <row r="73" spans="2:5">
      <c r="B73" s="23" t="s">
        <v>62</v>
      </c>
      <c r="C73" s="24" t="s">
        <v>65</v>
      </c>
      <c r="D73" s="25">
        <f>E17</f>
        <v>29907.25</v>
      </c>
      <c r="E73" s="26">
        <f>D73/E21</f>
        <v>1.8681827422680005E-3</v>
      </c>
    </row>
    <row r="74" spans="2:5">
      <c r="B74" s="119" t="s">
        <v>64</v>
      </c>
      <c r="C74" s="120" t="s">
        <v>66</v>
      </c>
      <c r="D74" s="121">
        <f>D58+D71+D72-D73</f>
        <v>16008739.040000001</v>
      </c>
      <c r="E74" s="66">
        <f>E58+E72-E73</f>
        <v>1</v>
      </c>
    </row>
    <row r="75" spans="2:5">
      <c r="B75" s="14" t="s">
        <v>4</v>
      </c>
      <c r="C75" s="15" t="s">
        <v>67</v>
      </c>
      <c r="D75" s="77">
        <f>D74</f>
        <v>16008739.040000001</v>
      </c>
      <c r="E75" s="78">
        <f>E74</f>
        <v>1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246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173324.38</v>
      </c>
      <c r="E11" s="229">
        <f>SUM(E12:E14)</f>
        <v>171817.63</v>
      </c>
    </row>
    <row r="12" spans="2:5">
      <c r="B12" s="170" t="s">
        <v>4</v>
      </c>
      <c r="C12" s="171" t="s">
        <v>5</v>
      </c>
      <c r="D12" s="245">
        <v>173324.38</v>
      </c>
      <c r="E12" s="251">
        <v>171817.63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173324.38</v>
      </c>
      <c r="E21" s="147">
        <f>E11-E17</f>
        <v>171817.63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390879.69</v>
      </c>
      <c r="E26" s="219">
        <f>D21</f>
        <v>173324.38</v>
      </c>
    </row>
    <row r="27" spans="2:6">
      <c r="B27" s="9" t="s">
        <v>17</v>
      </c>
      <c r="C27" s="10" t="s">
        <v>111</v>
      </c>
      <c r="D27" s="198">
        <v>-22263.829999999998</v>
      </c>
      <c r="E27" s="292">
        <v>-2039.66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22263.829999999998</v>
      </c>
      <c r="E32" s="293">
        <v>2039.66</v>
      </c>
      <c r="F32" s="71"/>
    </row>
    <row r="33" spans="2:6">
      <c r="B33" s="178" t="s">
        <v>4</v>
      </c>
      <c r="C33" s="171" t="s">
        <v>25</v>
      </c>
      <c r="D33" s="199">
        <v>18692.439999999999</v>
      </c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897.93</v>
      </c>
      <c r="E35" s="295">
        <v>837.02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2673.46</v>
      </c>
      <c r="E37" s="295">
        <v>1202.6400000000001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2733.65</v>
      </c>
      <c r="E40" s="306">
        <v>532.91</v>
      </c>
    </row>
    <row r="41" spans="2:6" ht="13.5" thickBot="1">
      <c r="B41" s="98" t="s">
        <v>37</v>
      </c>
      <c r="C41" s="99" t="s">
        <v>38</v>
      </c>
      <c r="D41" s="202">
        <v>371349.51</v>
      </c>
      <c r="E41" s="147">
        <f>E26+E27+E40</f>
        <v>171817.63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31096.236000000001</v>
      </c>
      <c r="E47" s="148">
        <v>13572.778</v>
      </c>
    </row>
    <row r="48" spans="2:6">
      <c r="B48" s="183" t="s">
        <v>6</v>
      </c>
      <c r="C48" s="184" t="s">
        <v>41</v>
      </c>
      <c r="D48" s="203">
        <v>29332.505000000001</v>
      </c>
      <c r="E48" s="148">
        <v>13412.773999999999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12.57</v>
      </c>
      <c r="E50" s="148">
        <v>12.77</v>
      </c>
    </row>
    <row r="51" spans="2:5">
      <c r="B51" s="181" t="s">
        <v>6</v>
      </c>
      <c r="C51" s="182" t="s">
        <v>114</v>
      </c>
      <c r="D51" s="203">
        <v>12.56</v>
      </c>
      <c r="E51" s="148">
        <v>12.64</v>
      </c>
    </row>
    <row r="52" spans="2:5">
      <c r="B52" s="181" t="s">
        <v>8</v>
      </c>
      <c r="C52" s="182" t="s">
        <v>115</v>
      </c>
      <c r="D52" s="203">
        <v>12.66</v>
      </c>
      <c r="E52" s="74">
        <v>12.82</v>
      </c>
    </row>
    <row r="53" spans="2:5" ht="13.5" customHeight="1" thickBot="1">
      <c r="B53" s="185" t="s">
        <v>9</v>
      </c>
      <c r="C53" s="186" t="s">
        <v>41</v>
      </c>
      <c r="D53" s="205">
        <v>12.66</v>
      </c>
      <c r="E53" s="309">
        <v>12.81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171817.63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171817.63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171817.63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171817.63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202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871158.36</v>
      </c>
      <c r="E11" s="229">
        <f>SUM(E12:E14)</f>
        <v>775494.22</v>
      </c>
    </row>
    <row r="12" spans="2:7">
      <c r="B12" s="170" t="s">
        <v>4</v>
      </c>
      <c r="C12" s="171" t="s">
        <v>5</v>
      </c>
      <c r="D12" s="245">
        <v>871158.36</v>
      </c>
      <c r="E12" s="251">
        <v>775494.22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871158.36</v>
      </c>
      <c r="E21" s="147">
        <f>E11-E17</f>
        <v>775494.22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772365.77</v>
      </c>
      <c r="E26" s="219">
        <f>D21</f>
        <v>871158.36</v>
      </c>
    </row>
    <row r="27" spans="2:6">
      <c r="B27" s="9" t="s">
        <v>17</v>
      </c>
      <c r="C27" s="10" t="s">
        <v>111</v>
      </c>
      <c r="D27" s="198">
        <v>-6708.0700000000006</v>
      </c>
      <c r="E27" s="292">
        <v>-6642.62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6708.0700000000006</v>
      </c>
      <c r="E32" s="293">
        <v>6642.62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97.39</v>
      </c>
      <c r="E35" s="295">
        <v>321.08999999999997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6610.68</v>
      </c>
      <c r="E37" s="295">
        <v>6321.53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74046.600000000006</v>
      </c>
      <c r="E40" s="306">
        <v>-89021.52</v>
      </c>
    </row>
    <row r="41" spans="2:6" ht="13.5" thickBot="1">
      <c r="B41" s="98" t="s">
        <v>37</v>
      </c>
      <c r="C41" s="99" t="s">
        <v>38</v>
      </c>
      <c r="D41" s="202">
        <v>839704.3</v>
      </c>
      <c r="E41" s="147">
        <f>E26+E27+E40</f>
        <v>775494.22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71317.245999999999</v>
      </c>
      <c r="E47" s="148">
        <v>70141.574999999997</v>
      </c>
    </row>
    <row r="48" spans="2:6">
      <c r="B48" s="183" t="s">
        <v>6</v>
      </c>
      <c r="C48" s="184" t="s">
        <v>41</v>
      </c>
      <c r="D48" s="203">
        <v>70741.726999999999</v>
      </c>
      <c r="E48" s="148">
        <v>69551.051000000007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10.83</v>
      </c>
      <c r="E50" s="148">
        <v>12.42</v>
      </c>
    </row>
    <row r="51" spans="2:5">
      <c r="B51" s="181" t="s">
        <v>6</v>
      </c>
      <c r="C51" s="182" t="s">
        <v>114</v>
      </c>
      <c r="D51" s="203">
        <v>10.83</v>
      </c>
      <c r="E51" s="148">
        <v>9.82</v>
      </c>
    </row>
    <row r="52" spans="2:5">
      <c r="B52" s="181" t="s">
        <v>8</v>
      </c>
      <c r="C52" s="182" t="s">
        <v>115</v>
      </c>
      <c r="D52" s="203">
        <v>11.93</v>
      </c>
      <c r="E52" s="74">
        <v>12.71</v>
      </c>
    </row>
    <row r="53" spans="2:5" ht="13.5" customHeight="1" thickBot="1">
      <c r="B53" s="185" t="s">
        <v>9</v>
      </c>
      <c r="C53" s="186" t="s">
        <v>41</v>
      </c>
      <c r="D53" s="205">
        <v>11.87</v>
      </c>
      <c r="E53" s="309">
        <v>11.15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775494.22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775494.22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775494.22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775494.22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203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42568.53</v>
      </c>
      <c r="E11" s="229">
        <f>SUM(E12:E14)</f>
        <v>35945.360000000001</v>
      </c>
    </row>
    <row r="12" spans="2:5">
      <c r="B12" s="170" t="s">
        <v>4</v>
      </c>
      <c r="C12" s="171" t="s">
        <v>5</v>
      </c>
      <c r="D12" s="245">
        <v>42568.53</v>
      </c>
      <c r="E12" s="251">
        <v>35945.360000000001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42568.53</v>
      </c>
      <c r="E21" s="147">
        <f>E11-E17</f>
        <v>35945.360000000001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44887.59</v>
      </c>
      <c r="E26" s="219">
        <f>D21</f>
        <v>42568.53</v>
      </c>
    </row>
    <row r="27" spans="2:6">
      <c r="B27" s="9" t="s">
        <v>17</v>
      </c>
      <c r="C27" s="10" t="s">
        <v>111</v>
      </c>
      <c r="D27" s="198">
        <v>-3637.76</v>
      </c>
      <c r="E27" s="292">
        <f>E28-E32</f>
        <v>11407.939999999995</v>
      </c>
      <c r="F27" s="71"/>
    </row>
    <row r="28" spans="2:6">
      <c r="B28" s="9" t="s">
        <v>18</v>
      </c>
      <c r="C28" s="10" t="s">
        <v>19</v>
      </c>
      <c r="D28" s="198">
        <v>1536.86</v>
      </c>
      <c r="E28" s="293">
        <v>59831.83</v>
      </c>
      <c r="F28" s="71"/>
    </row>
    <row r="29" spans="2:6">
      <c r="B29" s="178" t="s">
        <v>4</v>
      </c>
      <c r="C29" s="171" t="s">
        <v>20</v>
      </c>
      <c r="D29" s="199">
        <v>1536.86</v>
      </c>
      <c r="E29" s="295">
        <v>1880.46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57951.37</v>
      </c>
      <c r="F31" s="71"/>
    </row>
    <row r="32" spans="2:6">
      <c r="B32" s="91" t="s">
        <v>23</v>
      </c>
      <c r="C32" s="11" t="s">
        <v>24</v>
      </c>
      <c r="D32" s="198">
        <v>5174.62</v>
      </c>
      <c r="E32" s="293">
        <f>SUM(E33:E39)</f>
        <v>48423.890000000007</v>
      </c>
      <c r="F32" s="71"/>
    </row>
    <row r="33" spans="2:6">
      <c r="B33" s="178" t="s">
        <v>4</v>
      </c>
      <c r="C33" s="171" t="s">
        <v>25</v>
      </c>
      <c r="D33" s="199">
        <v>4585.74</v>
      </c>
      <c r="E33" s="295">
        <f>83.16+108.99</f>
        <v>192.14999999999998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304.95999999999998</v>
      </c>
      <c r="E35" s="295">
        <v>357.45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283.92</v>
      </c>
      <c r="E37" s="295">
        <v>473.88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47400.41</v>
      </c>
      <c r="F39" s="71"/>
    </row>
    <row r="40" spans="2:6" ht="13.5" thickBot="1">
      <c r="B40" s="96" t="s">
        <v>35</v>
      </c>
      <c r="C40" s="97" t="s">
        <v>36</v>
      </c>
      <c r="D40" s="201">
        <v>2792.31</v>
      </c>
      <c r="E40" s="306">
        <v>-18031.11</v>
      </c>
    </row>
    <row r="41" spans="2:6" ht="13.5" thickBot="1">
      <c r="B41" s="98" t="s">
        <v>37</v>
      </c>
      <c r="C41" s="99" t="s">
        <v>38</v>
      </c>
      <c r="D41" s="202">
        <v>44042.139999999992</v>
      </c>
      <c r="E41" s="147">
        <f>E26+E27+E40</f>
        <v>35945.359999999993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8599.1550000000007</v>
      </c>
      <c r="E47" s="148">
        <v>7561.0169999999998</v>
      </c>
    </row>
    <row r="48" spans="2:6">
      <c r="B48" s="183" t="s">
        <v>6</v>
      </c>
      <c r="C48" s="184" t="s">
        <v>41</v>
      </c>
      <c r="D48" s="203">
        <v>7935.52</v>
      </c>
      <c r="E48" s="148">
        <v>7780.3810000000003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5.22</v>
      </c>
      <c r="E50" s="148">
        <v>5.63</v>
      </c>
    </row>
    <row r="51" spans="2:5">
      <c r="B51" s="181" t="s">
        <v>6</v>
      </c>
      <c r="C51" s="182" t="s">
        <v>114</v>
      </c>
      <c r="D51" s="203">
        <v>5.2</v>
      </c>
      <c r="E51" s="148">
        <v>4.3</v>
      </c>
    </row>
    <row r="52" spans="2:5">
      <c r="B52" s="181" t="s">
        <v>8</v>
      </c>
      <c r="C52" s="182" t="s">
        <v>115</v>
      </c>
      <c r="D52" s="203">
        <v>5.67</v>
      </c>
      <c r="E52" s="148">
        <v>5.65</v>
      </c>
    </row>
    <row r="53" spans="2:5" ht="13.5" customHeight="1" thickBot="1">
      <c r="B53" s="185" t="s">
        <v>9</v>
      </c>
      <c r="C53" s="186" t="s">
        <v>41</v>
      </c>
      <c r="D53" s="205">
        <v>5.55</v>
      </c>
      <c r="E53" s="309">
        <v>4.62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35945.360000000001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35945.360000000001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35945.360000000001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35945.360000000001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204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86.29</v>
      </c>
      <c r="E11" s="229">
        <f>SUM(E12:E14)</f>
        <v>56.36</v>
      </c>
    </row>
    <row r="12" spans="2:5">
      <c r="B12" s="170" t="s">
        <v>4</v>
      </c>
      <c r="C12" s="171" t="s">
        <v>5</v>
      </c>
      <c r="D12" s="245">
        <v>86.29</v>
      </c>
      <c r="E12" s="251">
        <v>56.36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86.29</v>
      </c>
      <c r="E21" s="147">
        <f>E11-E17</f>
        <v>56.36</v>
      </c>
      <c r="F21" s="76"/>
    </row>
    <row r="22" spans="2:6">
      <c r="B22" s="3"/>
      <c r="C22" s="7"/>
      <c r="D22" s="8"/>
      <c r="E22" s="217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79.06</v>
      </c>
      <c r="E26" s="219">
        <f>D21</f>
        <v>86.29</v>
      </c>
    </row>
    <row r="27" spans="2:6">
      <c r="B27" s="9" t="s">
        <v>17</v>
      </c>
      <c r="C27" s="10" t="s">
        <v>111</v>
      </c>
      <c r="D27" s="198">
        <v>-12.449999999999996</v>
      </c>
      <c r="E27" s="292">
        <f>E28-E32</f>
        <v>-17.46</v>
      </c>
      <c r="F27" s="71"/>
    </row>
    <row r="28" spans="2:6">
      <c r="B28" s="9" t="s">
        <v>18</v>
      </c>
      <c r="C28" s="10" t="s">
        <v>19</v>
      </c>
      <c r="D28" s="198">
        <v>61.82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>
        <v>61.82</v>
      </c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74.27</v>
      </c>
      <c r="E32" s="293">
        <v>17.46</v>
      </c>
      <c r="F32" s="71"/>
    </row>
    <row r="33" spans="2:6">
      <c r="B33" s="178" t="s">
        <v>4</v>
      </c>
      <c r="C33" s="171" t="s">
        <v>25</v>
      </c>
      <c r="D33" s="199">
        <v>72.52</v>
      </c>
      <c r="E33" s="295">
        <v>17.46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1.36</v>
      </c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0.39</v>
      </c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3.6</v>
      </c>
      <c r="E40" s="306">
        <v>-12.47</v>
      </c>
    </row>
    <row r="41" spans="2:6" ht="13.5" thickBot="1">
      <c r="B41" s="98" t="s">
        <v>37</v>
      </c>
      <c r="C41" s="99" t="s">
        <v>38</v>
      </c>
      <c r="D41" s="202">
        <v>70.210000000000008</v>
      </c>
      <c r="E41" s="147">
        <f>E26+E27+E40</f>
        <v>56.360000000000014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3.8530000000000002</v>
      </c>
      <c r="E47" s="148">
        <v>4.0759999999999996</v>
      </c>
    </row>
    <row r="48" spans="2:6">
      <c r="B48" s="183" t="s">
        <v>6</v>
      </c>
      <c r="C48" s="184" t="s">
        <v>41</v>
      </c>
      <c r="D48" s="203">
        <v>3.24</v>
      </c>
      <c r="E48" s="148">
        <v>3.1120000000000001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20.52</v>
      </c>
      <c r="E50" s="148">
        <v>21.17</v>
      </c>
    </row>
    <row r="51" spans="2:5">
      <c r="B51" s="181" t="s">
        <v>6</v>
      </c>
      <c r="C51" s="182" t="s">
        <v>114</v>
      </c>
      <c r="D51" s="203">
        <v>20.28</v>
      </c>
      <c r="E51" s="148">
        <v>13.9</v>
      </c>
    </row>
    <row r="52" spans="2:5">
      <c r="B52" s="181" t="s">
        <v>8</v>
      </c>
      <c r="C52" s="182" t="s">
        <v>115</v>
      </c>
      <c r="D52" s="203">
        <v>22.22</v>
      </c>
      <c r="E52" s="74">
        <v>21.56</v>
      </c>
    </row>
    <row r="53" spans="2:5" ht="14.25" customHeight="1" thickBot="1">
      <c r="B53" s="185" t="s">
        <v>9</v>
      </c>
      <c r="C53" s="186" t="s">
        <v>41</v>
      </c>
      <c r="D53" s="205">
        <v>21.67</v>
      </c>
      <c r="E53" s="309">
        <v>18.11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56.36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56.36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56.36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56.36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205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1445908.38</v>
      </c>
      <c r="E11" s="229">
        <f>SUM(E12:E14)</f>
        <v>895741.41</v>
      </c>
    </row>
    <row r="12" spans="2:5">
      <c r="B12" s="170" t="s">
        <v>4</v>
      </c>
      <c r="C12" s="171" t="s">
        <v>5</v>
      </c>
      <c r="D12" s="245">
        <v>1445908.38</v>
      </c>
      <c r="E12" s="251">
        <v>895741.41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1445908.38</v>
      </c>
      <c r="E21" s="147">
        <f>E11-E17</f>
        <v>895741.41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1288997.19</v>
      </c>
      <c r="E26" s="219">
        <f>D21</f>
        <v>1445908.38</v>
      </c>
    </row>
    <row r="27" spans="2:6">
      <c r="B27" s="9" t="s">
        <v>17</v>
      </c>
      <c r="C27" s="10" t="s">
        <v>111</v>
      </c>
      <c r="D27" s="198">
        <v>-11075.68</v>
      </c>
      <c r="E27" s="292">
        <v>-533812.26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11075.68</v>
      </c>
      <c r="E32" s="293">
        <v>533812.26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10.92</v>
      </c>
      <c r="E35" s="295">
        <v>657.24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11064.76</v>
      </c>
      <c r="E37" s="295">
        <v>8938.2800000000007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524216.74</v>
      </c>
      <c r="F39" s="71"/>
    </row>
    <row r="40" spans="2:6" ht="13.5" thickBot="1">
      <c r="B40" s="96" t="s">
        <v>35</v>
      </c>
      <c r="C40" s="97" t="s">
        <v>36</v>
      </c>
      <c r="D40" s="201">
        <v>137876.87</v>
      </c>
      <c r="E40" s="306">
        <v>-16354.71</v>
      </c>
    </row>
    <row r="41" spans="2:6" ht="13.5" thickBot="1">
      <c r="B41" s="98" t="s">
        <v>37</v>
      </c>
      <c r="C41" s="99" t="s">
        <v>38</v>
      </c>
      <c r="D41" s="202">
        <v>1415798.38</v>
      </c>
      <c r="E41" s="147">
        <f>E26+E27+E40</f>
        <v>895741.40999999992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81737.297999999995</v>
      </c>
      <c r="E47" s="148">
        <v>80417.596000000005</v>
      </c>
    </row>
    <row r="48" spans="2:6">
      <c r="B48" s="183" t="s">
        <v>6</v>
      </c>
      <c r="C48" s="184" t="s">
        <v>41</v>
      </c>
      <c r="D48" s="203">
        <v>81088.108999999997</v>
      </c>
      <c r="E48" s="148">
        <v>49625.563000000002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15.77</v>
      </c>
      <c r="E50" s="148">
        <v>17.98</v>
      </c>
    </row>
    <row r="51" spans="2:5">
      <c r="B51" s="181" t="s">
        <v>6</v>
      </c>
      <c r="C51" s="182" t="s">
        <v>114</v>
      </c>
      <c r="D51" s="203">
        <v>15.68</v>
      </c>
      <c r="E51" s="148">
        <v>13.02</v>
      </c>
    </row>
    <row r="52" spans="2:5">
      <c r="B52" s="181" t="s">
        <v>8</v>
      </c>
      <c r="C52" s="182" t="s">
        <v>115</v>
      </c>
      <c r="D52" s="203">
        <v>17.87</v>
      </c>
      <c r="E52" s="74">
        <v>19.2</v>
      </c>
    </row>
    <row r="53" spans="2:5" ht="13.5" customHeight="1" thickBot="1">
      <c r="B53" s="185" t="s">
        <v>9</v>
      </c>
      <c r="C53" s="186" t="s">
        <v>41</v>
      </c>
      <c r="D53" s="205">
        <v>17.46</v>
      </c>
      <c r="E53" s="309">
        <v>18.05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895741.41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895741.41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895741.41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895741.41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206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16873.509999999998</v>
      </c>
      <c r="E11" s="229">
        <f>SUM(E12:E14)</f>
        <v>20432.75</v>
      </c>
    </row>
    <row r="12" spans="2:7">
      <c r="B12" s="170" t="s">
        <v>4</v>
      </c>
      <c r="C12" s="171" t="s">
        <v>5</v>
      </c>
      <c r="D12" s="245">
        <v>16873.509999999998</v>
      </c>
      <c r="E12" s="251">
        <v>20432.75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16873.509999999998</v>
      </c>
      <c r="E21" s="147">
        <f>E11-E17</f>
        <v>20432.75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34626.68</v>
      </c>
      <c r="E26" s="219">
        <f>D21</f>
        <v>16873.509999999998</v>
      </c>
    </row>
    <row r="27" spans="2:6">
      <c r="B27" s="9" t="s">
        <v>17</v>
      </c>
      <c r="C27" s="10" t="s">
        <v>111</v>
      </c>
      <c r="D27" s="198">
        <v>4997.6999999999989</v>
      </c>
      <c r="E27" s="292">
        <f>E28-E32</f>
        <v>2892.5099999999984</v>
      </c>
      <c r="F27" s="71"/>
    </row>
    <row r="28" spans="2:6">
      <c r="B28" s="9" t="s">
        <v>18</v>
      </c>
      <c r="C28" s="10" t="s">
        <v>19</v>
      </c>
      <c r="D28" s="198">
        <v>5650.7599999999993</v>
      </c>
      <c r="E28" s="293">
        <f>E29+E31</f>
        <v>8706.2099999999991</v>
      </c>
      <c r="F28" s="71"/>
    </row>
    <row r="29" spans="2:6">
      <c r="B29" s="178" t="s">
        <v>4</v>
      </c>
      <c r="C29" s="171" t="s">
        <v>20</v>
      </c>
      <c r="D29" s="199">
        <v>5307.23</v>
      </c>
      <c r="E29" s="295">
        <v>3955.46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343.53</v>
      </c>
      <c r="E31" s="295">
        <v>4750.75</v>
      </c>
      <c r="F31" s="71"/>
    </row>
    <row r="32" spans="2:6">
      <c r="B32" s="91" t="s">
        <v>23</v>
      </c>
      <c r="C32" s="11" t="s">
        <v>24</v>
      </c>
      <c r="D32" s="198">
        <v>653.05999999999995</v>
      </c>
      <c r="E32" s="293">
        <f>SUM(E33:E39)</f>
        <v>5813.7000000000007</v>
      </c>
      <c r="F32" s="71"/>
    </row>
    <row r="33" spans="2:6">
      <c r="B33" s="178" t="s">
        <v>4</v>
      </c>
      <c r="C33" s="171" t="s">
        <v>25</v>
      </c>
      <c r="D33" s="199">
        <v>114.39</v>
      </c>
      <c r="E33" s="295">
        <f>2041.93+2.89</f>
        <v>2044.8200000000002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239.09</v>
      </c>
      <c r="E35" s="295">
        <v>240.52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235.4</v>
      </c>
      <c r="E37" s="295">
        <v>81.540000000000006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64.180000000000007</v>
      </c>
      <c r="E39" s="297">
        <v>3446.82</v>
      </c>
      <c r="F39" s="71"/>
    </row>
    <row r="40" spans="2:6" ht="13.5" thickBot="1">
      <c r="B40" s="96" t="s">
        <v>35</v>
      </c>
      <c r="C40" s="97" t="s">
        <v>36</v>
      </c>
      <c r="D40" s="201">
        <v>530.16999999999996</v>
      </c>
      <c r="E40" s="306">
        <v>666.73</v>
      </c>
    </row>
    <row r="41" spans="2:6" ht="13.5" thickBot="1">
      <c r="B41" s="98" t="s">
        <v>37</v>
      </c>
      <c r="C41" s="99" t="s">
        <v>38</v>
      </c>
      <c r="D41" s="202">
        <v>40154.549999999996</v>
      </c>
      <c r="E41" s="147">
        <f>E26+E27+E40</f>
        <v>20432.749999999996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579.62302999999997</v>
      </c>
      <c r="E47" s="148">
        <v>275.666</v>
      </c>
    </row>
    <row r="48" spans="2:6">
      <c r="B48" s="183" t="s">
        <v>6</v>
      </c>
      <c r="C48" s="184" t="s">
        <v>41</v>
      </c>
      <c r="D48" s="203">
        <v>662.83509409045894</v>
      </c>
      <c r="E48" s="148">
        <v>323.303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59.74</v>
      </c>
      <c r="E50" s="148">
        <v>61.21</v>
      </c>
    </row>
    <row r="51" spans="2:5">
      <c r="B51" s="181" t="s">
        <v>6</v>
      </c>
      <c r="C51" s="182" t="s">
        <v>114</v>
      </c>
      <c r="D51" s="203">
        <v>59.68</v>
      </c>
      <c r="E51" s="148">
        <v>60.85</v>
      </c>
    </row>
    <row r="52" spans="2:5">
      <c r="B52" s="181" t="s">
        <v>8</v>
      </c>
      <c r="C52" s="182" t="s">
        <v>115</v>
      </c>
      <c r="D52" s="203">
        <v>60.7</v>
      </c>
      <c r="E52" s="74">
        <v>63.2</v>
      </c>
    </row>
    <row r="53" spans="2:5" ht="12.75" customHeight="1" thickBot="1">
      <c r="B53" s="185" t="s">
        <v>9</v>
      </c>
      <c r="C53" s="186" t="s">
        <v>41</v>
      </c>
      <c r="D53" s="205">
        <v>60.58</v>
      </c>
      <c r="E53" s="309">
        <v>63.2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20432.75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20432.75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20432.75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20432.75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G81"/>
  <sheetViews>
    <sheetView zoomScale="80" zoomScaleNormal="80" workbookViewId="0">
      <selection activeCell="M35" sqref="M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247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4476349.07</v>
      </c>
      <c r="E11" s="229">
        <f>SUM(E12:E14)</f>
        <v>5788770.9000000004</v>
      </c>
    </row>
    <row r="12" spans="2:7">
      <c r="B12" s="170" t="s">
        <v>4</v>
      </c>
      <c r="C12" s="171" t="s">
        <v>5</v>
      </c>
      <c r="D12" s="245">
        <v>4476349.07</v>
      </c>
      <c r="E12" s="251">
        <v>5788770.9000000004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4476349.07</v>
      </c>
      <c r="E21" s="147">
        <f>E11-E17</f>
        <v>5788770.9000000004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5017536.5999999996</v>
      </c>
      <c r="E26" s="219">
        <f>D21</f>
        <v>4476349.07</v>
      </c>
    </row>
    <row r="27" spans="2:6">
      <c r="B27" s="9" t="s">
        <v>17</v>
      </c>
      <c r="C27" s="10" t="s">
        <v>111</v>
      </c>
      <c r="D27" s="198">
        <v>-262989.27</v>
      </c>
      <c r="E27" s="292">
        <f>E28-E32</f>
        <v>1332820.01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1424011.04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1424011.04</v>
      </c>
      <c r="F31" s="71"/>
    </row>
    <row r="32" spans="2:6">
      <c r="B32" s="91" t="s">
        <v>23</v>
      </c>
      <c r="C32" s="11" t="s">
        <v>24</v>
      </c>
      <c r="D32" s="198">
        <v>262989.27</v>
      </c>
      <c r="E32" s="293">
        <v>91191.03</v>
      </c>
      <c r="F32" s="71"/>
    </row>
    <row r="33" spans="2:6">
      <c r="B33" s="178" t="s">
        <v>4</v>
      </c>
      <c r="C33" s="171" t="s">
        <v>25</v>
      </c>
      <c r="D33" s="199"/>
      <c r="E33" s="295">
        <v>41914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6146.54</v>
      </c>
      <c r="E35" s="295">
        <v>8085.43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38821.620000000003</v>
      </c>
      <c r="E37" s="295">
        <v>41191.599999999999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218021.11</v>
      </c>
      <c r="E39" s="297"/>
      <c r="F39" s="71"/>
    </row>
    <row r="40" spans="2:6" ht="13.5" thickBot="1">
      <c r="B40" s="96" t="s">
        <v>35</v>
      </c>
      <c r="C40" s="97" t="s">
        <v>36</v>
      </c>
      <c r="D40" s="201">
        <v>43383.8</v>
      </c>
      <c r="E40" s="306">
        <v>-20398.18</v>
      </c>
    </row>
    <row r="41" spans="2:6" ht="13.5" thickBot="1">
      <c r="B41" s="98" t="s">
        <v>37</v>
      </c>
      <c r="C41" s="99" t="s">
        <v>38</v>
      </c>
      <c r="D41" s="202">
        <v>4797931.13</v>
      </c>
      <c r="E41" s="147">
        <f>E26+E27+E40</f>
        <v>5788770.9000000004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25602.289000000001</v>
      </c>
      <c r="E47" s="148">
        <v>22414.245999999999</v>
      </c>
    </row>
    <row r="48" spans="2:6">
      <c r="B48" s="183" t="s">
        <v>6</v>
      </c>
      <c r="C48" s="184" t="s">
        <v>41</v>
      </c>
      <c r="D48" s="203">
        <v>24263.837</v>
      </c>
      <c r="E48" s="148">
        <v>29089.300999999999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195.98</v>
      </c>
      <c r="E50" s="148">
        <v>199.71</v>
      </c>
    </row>
    <row r="51" spans="2:5">
      <c r="B51" s="181" t="s">
        <v>6</v>
      </c>
      <c r="C51" s="182" t="s">
        <v>114</v>
      </c>
      <c r="D51" s="203">
        <v>195.72</v>
      </c>
      <c r="E51" s="148">
        <v>195.76</v>
      </c>
    </row>
    <row r="52" spans="2:5">
      <c r="B52" s="181" t="s">
        <v>8</v>
      </c>
      <c r="C52" s="182" t="s">
        <v>115</v>
      </c>
      <c r="D52" s="203">
        <v>197.78</v>
      </c>
      <c r="E52" s="74">
        <v>200.44</v>
      </c>
    </row>
    <row r="53" spans="2:5" ht="12.75" customHeight="1" thickBot="1">
      <c r="B53" s="185" t="s">
        <v>9</v>
      </c>
      <c r="C53" s="186" t="s">
        <v>41</v>
      </c>
      <c r="D53" s="205">
        <v>197.74</v>
      </c>
      <c r="E53" s="309">
        <v>199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5788770.9000000004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5788770.9000000004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5788770.9000000004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5788770.9000000004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248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5467492.3099999996</v>
      </c>
      <c r="E11" s="229">
        <f>SUM(E12:E14)</f>
        <v>8695817.5199999996</v>
      </c>
    </row>
    <row r="12" spans="2:7">
      <c r="B12" s="170" t="s">
        <v>4</v>
      </c>
      <c r="C12" s="171" t="s">
        <v>5</v>
      </c>
      <c r="D12" s="245">
        <v>5467492.3099999996</v>
      </c>
      <c r="E12" s="251">
        <v>8695817.5199999996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5467492.3099999996</v>
      </c>
      <c r="E21" s="147">
        <f>E11-E17</f>
        <v>8695817.5199999996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5116051.53</v>
      </c>
      <c r="E26" s="219">
        <f>D21</f>
        <v>5467492.3099999996</v>
      </c>
    </row>
    <row r="27" spans="2:6">
      <c r="B27" s="9" t="s">
        <v>17</v>
      </c>
      <c r="C27" s="10" t="s">
        <v>111</v>
      </c>
      <c r="D27" s="198">
        <v>5155974.38</v>
      </c>
      <c r="E27" s="292">
        <f>E28-E32</f>
        <v>3401236.03</v>
      </c>
      <c r="F27" s="71"/>
    </row>
    <row r="28" spans="2:6">
      <c r="B28" s="9" t="s">
        <v>18</v>
      </c>
      <c r="C28" s="10" t="s">
        <v>19</v>
      </c>
      <c r="D28" s="198">
        <v>5293295.72</v>
      </c>
      <c r="E28" s="293">
        <v>3847171.75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5293295.72</v>
      </c>
      <c r="E31" s="295">
        <v>3847171.75</v>
      </c>
      <c r="F31" s="71"/>
    </row>
    <row r="32" spans="2:6">
      <c r="B32" s="91" t="s">
        <v>23</v>
      </c>
      <c r="C32" s="11" t="s">
        <v>24</v>
      </c>
      <c r="D32" s="198">
        <v>137321.34</v>
      </c>
      <c r="E32" s="293">
        <v>445935.72000000003</v>
      </c>
      <c r="F32" s="71"/>
    </row>
    <row r="33" spans="2:6">
      <c r="B33" s="178" t="s">
        <v>4</v>
      </c>
      <c r="C33" s="171" t="s">
        <v>25</v>
      </c>
      <c r="D33" s="199">
        <v>65900.56</v>
      </c>
      <c r="E33" s="295">
        <v>382904.25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5587.65</v>
      </c>
      <c r="E35" s="295">
        <v>4406.33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65833.13</v>
      </c>
      <c r="E37" s="295">
        <v>58625.14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91487.03</v>
      </c>
      <c r="E40" s="306">
        <v>-172910.82</v>
      </c>
    </row>
    <row r="41" spans="2:6" ht="13.5" thickBot="1">
      <c r="B41" s="98" t="s">
        <v>37</v>
      </c>
      <c r="C41" s="99" t="s">
        <v>38</v>
      </c>
      <c r="D41" s="202">
        <v>10363512.939999999</v>
      </c>
      <c r="E41" s="147">
        <f>E26+E27+E40</f>
        <v>8695817.5199999996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454356.26400000002</v>
      </c>
      <c r="E47" s="148">
        <v>473786.16200000001</v>
      </c>
    </row>
    <row r="48" spans="2:6">
      <c r="B48" s="183" t="s">
        <v>6</v>
      </c>
      <c r="C48" s="184" t="s">
        <v>41</v>
      </c>
      <c r="D48" s="203">
        <v>910677.76300000004</v>
      </c>
      <c r="E48" s="148">
        <v>770222.98699999996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11.26</v>
      </c>
      <c r="E50" s="148">
        <v>11.54</v>
      </c>
    </row>
    <row r="51" spans="2:5">
      <c r="B51" s="181" t="s">
        <v>6</v>
      </c>
      <c r="C51" s="182" t="s">
        <v>114</v>
      </c>
      <c r="D51" s="203">
        <v>11.24</v>
      </c>
      <c r="E51" s="148">
        <v>11.02</v>
      </c>
    </row>
    <row r="52" spans="2:5">
      <c r="B52" s="181" t="s">
        <v>8</v>
      </c>
      <c r="C52" s="182" t="s">
        <v>115</v>
      </c>
      <c r="D52" s="203">
        <v>11.39</v>
      </c>
      <c r="E52" s="74">
        <v>11.6</v>
      </c>
    </row>
    <row r="53" spans="2:5" ht="12.75" customHeight="1" thickBot="1">
      <c r="B53" s="185" t="s">
        <v>9</v>
      </c>
      <c r="C53" s="186" t="s">
        <v>41</v>
      </c>
      <c r="D53" s="205">
        <v>11.38</v>
      </c>
      <c r="E53" s="309">
        <v>11.29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8695817.5199999996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8695817.5199999996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8695817.5199999996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8695817.5199999996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207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207089.8</v>
      </c>
      <c r="E11" s="229">
        <f>SUM(E12:E14)</f>
        <v>196828.26</v>
      </c>
    </row>
    <row r="12" spans="2:7">
      <c r="B12" s="170" t="s">
        <v>4</v>
      </c>
      <c r="C12" s="171" t="s">
        <v>5</v>
      </c>
      <c r="D12" s="245">
        <v>207089.8</v>
      </c>
      <c r="E12" s="251">
        <v>196828.26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207089.8</v>
      </c>
      <c r="E21" s="147">
        <f>E11-E17</f>
        <v>196828.26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203932.92</v>
      </c>
      <c r="E26" s="219">
        <f>D21</f>
        <v>207089.8</v>
      </c>
    </row>
    <row r="27" spans="2:6">
      <c r="B27" s="9" t="s">
        <v>17</v>
      </c>
      <c r="C27" s="10" t="s">
        <v>111</v>
      </c>
      <c r="D27" s="198">
        <v>-1638.14</v>
      </c>
      <c r="E27" s="292">
        <v>-1798.3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1638.14</v>
      </c>
      <c r="E32" s="293">
        <v>1798.3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1638.14</v>
      </c>
      <c r="E37" s="295">
        <v>1798.3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4554.3599999999997</v>
      </c>
      <c r="E40" s="306">
        <v>-8463.24</v>
      </c>
    </row>
    <row r="41" spans="2:6" ht="13.5" thickBot="1">
      <c r="B41" s="98" t="s">
        <v>37</v>
      </c>
      <c r="C41" s="99" t="s">
        <v>38</v>
      </c>
      <c r="D41" s="202">
        <v>206849.13999999998</v>
      </c>
      <c r="E41" s="147">
        <f>E26+E27+E40</f>
        <v>196828.26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17565.281999999999</v>
      </c>
      <c r="E47" s="248">
        <v>17286.294000000002</v>
      </c>
    </row>
    <row r="48" spans="2:6">
      <c r="B48" s="183" t="s">
        <v>6</v>
      </c>
      <c r="C48" s="184" t="s">
        <v>41</v>
      </c>
      <c r="D48" s="203">
        <v>17426.212</v>
      </c>
      <c r="E48" s="148">
        <v>17130.397000000001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11.61</v>
      </c>
      <c r="E50" s="74">
        <v>11.98</v>
      </c>
    </row>
    <row r="51" spans="2:5">
      <c r="B51" s="181" t="s">
        <v>6</v>
      </c>
      <c r="C51" s="182" t="s">
        <v>114</v>
      </c>
      <c r="D51" s="203">
        <v>11.56</v>
      </c>
      <c r="E51" s="74">
        <v>10.5</v>
      </c>
    </row>
    <row r="52" spans="2:5">
      <c r="B52" s="181" t="s">
        <v>8</v>
      </c>
      <c r="C52" s="182" t="s">
        <v>115</v>
      </c>
      <c r="D52" s="203">
        <v>12.05</v>
      </c>
      <c r="E52" s="74">
        <v>12.04</v>
      </c>
    </row>
    <row r="53" spans="2:5" ht="14.25" customHeight="1" thickBot="1">
      <c r="B53" s="185" t="s">
        <v>9</v>
      </c>
      <c r="C53" s="186" t="s">
        <v>41</v>
      </c>
      <c r="D53" s="205">
        <v>11.87</v>
      </c>
      <c r="E53" s="309">
        <v>11.49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196828.26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196828.26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196828.26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196828.26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208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253284.17</v>
      </c>
      <c r="E11" s="229">
        <f>SUM(E12:E14)</f>
        <v>226168.27</v>
      </c>
    </row>
    <row r="12" spans="2:7">
      <c r="B12" s="170" t="s">
        <v>4</v>
      </c>
      <c r="C12" s="171" t="s">
        <v>5</v>
      </c>
      <c r="D12" s="245">
        <v>253284.17</v>
      </c>
      <c r="E12" s="251">
        <v>226168.27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253284.17</v>
      </c>
      <c r="E21" s="147">
        <f>E11-E17</f>
        <v>226168.27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365492.24</v>
      </c>
      <c r="E26" s="219">
        <f>D21</f>
        <v>253284.17</v>
      </c>
    </row>
    <row r="27" spans="2:6">
      <c r="B27" s="9" t="s">
        <v>17</v>
      </c>
      <c r="C27" s="10" t="s">
        <v>111</v>
      </c>
      <c r="D27" s="198">
        <v>-67518.720000000001</v>
      </c>
      <c r="E27" s="292">
        <v>-34837.159999999996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67518.720000000001</v>
      </c>
      <c r="E32" s="293">
        <v>34837.159999999996</v>
      </c>
      <c r="F32" s="71"/>
    </row>
    <row r="33" spans="2:6">
      <c r="B33" s="178" t="s">
        <v>4</v>
      </c>
      <c r="C33" s="171" t="s">
        <v>25</v>
      </c>
      <c r="D33" s="199">
        <v>64234.93</v>
      </c>
      <c r="E33" s="295">
        <v>32362.25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772.49</v>
      </c>
      <c r="E35" s="295">
        <v>582.64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2511.3000000000002</v>
      </c>
      <c r="E37" s="295">
        <v>1892.27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5082.24</v>
      </c>
      <c r="E40" s="306">
        <v>7721.26</v>
      </c>
    </row>
    <row r="41" spans="2:6" ht="13.5" thickBot="1">
      <c r="B41" s="98" t="s">
        <v>37</v>
      </c>
      <c r="C41" s="99" t="s">
        <v>38</v>
      </c>
      <c r="D41" s="202">
        <v>303055.76</v>
      </c>
      <c r="E41" s="147">
        <f>E26+E27+E40</f>
        <v>226168.27000000002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29192.670999999998</v>
      </c>
      <c r="E47" s="148">
        <v>19588.876</v>
      </c>
    </row>
    <row r="48" spans="2:6">
      <c r="B48" s="183" t="s">
        <v>6</v>
      </c>
      <c r="C48" s="184" t="s">
        <v>41</v>
      </c>
      <c r="D48" s="203">
        <v>23825.137999999999</v>
      </c>
      <c r="E48" s="148">
        <v>16954.143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12.52</v>
      </c>
      <c r="E50" s="148">
        <v>12.93</v>
      </c>
    </row>
    <row r="51" spans="2:5">
      <c r="B51" s="181" t="s">
        <v>6</v>
      </c>
      <c r="C51" s="182" t="s">
        <v>114</v>
      </c>
      <c r="D51" s="203">
        <v>12.51</v>
      </c>
      <c r="E51" s="148">
        <v>12.82</v>
      </c>
    </row>
    <row r="52" spans="2:5">
      <c r="B52" s="181" t="s">
        <v>8</v>
      </c>
      <c r="C52" s="182" t="s">
        <v>115</v>
      </c>
      <c r="D52" s="203">
        <v>12.74</v>
      </c>
      <c r="E52" s="74">
        <v>13.35</v>
      </c>
    </row>
    <row r="53" spans="2:5" ht="13.5" customHeight="1" thickBot="1">
      <c r="B53" s="185" t="s">
        <v>9</v>
      </c>
      <c r="C53" s="186" t="s">
        <v>41</v>
      </c>
      <c r="D53" s="205">
        <v>12.72</v>
      </c>
      <c r="E53" s="309">
        <v>13.34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226168.27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226168.27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226168.27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226168.27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G81"/>
  <sheetViews>
    <sheetView zoomScale="75" zoomScaleNormal="75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 customHeight="1">
      <c r="B6" s="351" t="s">
        <v>101</v>
      </c>
      <c r="C6" s="351"/>
      <c r="D6" s="351"/>
      <c r="E6" s="351"/>
    </row>
    <row r="7" spans="2:7" ht="14.25">
      <c r="B7" s="265"/>
      <c r="C7" s="265"/>
      <c r="D7" s="265"/>
      <c r="E7" s="265"/>
    </row>
    <row r="8" spans="2:7" ht="13.5" customHeight="1">
      <c r="B8" s="353" t="s">
        <v>18</v>
      </c>
      <c r="C8" s="355"/>
      <c r="D8" s="355"/>
      <c r="E8" s="355"/>
    </row>
    <row r="9" spans="2:7" ht="16.5" customHeight="1" thickBot="1">
      <c r="B9" s="352" t="s">
        <v>103</v>
      </c>
      <c r="C9" s="352"/>
      <c r="D9" s="352"/>
      <c r="E9" s="352"/>
    </row>
    <row r="10" spans="2:7" ht="13.5" thickBot="1">
      <c r="B10" s="26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622947.14</v>
      </c>
      <c r="E11" s="229">
        <f>SUM(E12:E14)</f>
        <v>611319.74</v>
      </c>
    </row>
    <row r="12" spans="2:7">
      <c r="B12" s="105" t="s">
        <v>4</v>
      </c>
      <c r="C12" s="6" t="s">
        <v>5</v>
      </c>
      <c r="D12" s="245">
        <v>621391.55000000005</v>
      </c>
      <c r="E12" s="251">
        <f>555923.67+53661.87</f>
        <v>609585.54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>
        <v>1555.59</v>
      </c>
      <c r="E14" s="252">
        <f>E15</f>
        <v>1734.2</v>
      </c>
    </row>
    <row r="15" spans="2:7">
      <c r="B15" s="105" t="s">
        <v>106</v>
      </c>
      <c r="C15" s="68" t="s">
        <v>11</v>
      </c>
      <c r="D15" s="241">
        <v>1555.59</v>
      </c>
      <c r="E15" s="252">
        <v>1734.2</v>
      </c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1131.44</v>
      </c>
      <c r="E17" s="254">
        <f>E18</f>
        <v>1513.8</v>
      </c>
    </row>
    <row r="18" spans="2:6">
      <c r="B18" s="105" t="s">
        <v>4</v>
      </c>
      <c r="C18" s="6" t="s">
        <v>11</v>
      </c>
      <c r="D18" s="243">
        <v>1131.44</v>
      </c>
      <c r="E18" s="253">
        <v>1513.8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customHeight="1" thickBot="1">
      <c r="B21" s="359" t="s">
        <v>110</v>
      </c>
      <c r="C21" s="360"/>
      <c r="D21" s="232">
        <v>621815.70000000007</v>
      </c>
      <c r="E21" s="147">
        <f>E11-E17</f>
        <v>609805.93999999994</v>
      </c>
      <c r="F21" s="76"/>
    </row>
    <row r="22" spans="2:6">
      <c r="B22" s="3"/>
      <c r="C22" s="7"/>
      <c r="D22" s="8"/>
      <c r="E22" s="8"/>
    </row>
    <row r="23" spans="2:6" ht="13.5" customHeight="1">
      <c r="B23" s="353" t="s">
        <v>104</v>
      </c>
      <c r="C23" s="361"/>
      <c r="D23" s="361"/>
      <c r="E23" s="361"/>
    </row>
    <row r="24" spans="2:6" ht="18" customHeight="1" thickBot="1">
      <c r="B24" s="352" t="s">
        <v>105</v>
      </c>
      <c r="C24" s="362"/>
      <c r="D24" s="362"/>
      <c r="E24" s="362"/>
    </row>
    <row r="25" spans="2:6" ht="13.5" thickBot="1">
      <c r="B25" s="266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472868.56</v>
      </c>
      <c r="E26" s="219">
        <f>D21</f>
        <v>621815.70000000007</v>
      </c>
    </row>
    <row r="27" spans="2:6">
      <c r="B27" s="9" t="s">
        <v>17</v>
      </c>
      <c r="C27" s="10" t="s">
        <v>111</v>
      </c>
      <c r="D27" s="198">
        <v>38442.39</v>
      </c>
      <c r="E27" s="292">
        <f>E28-E32</f>
        <v>26562.369999999995</v>
      </c>
      <c r="F27" s="71"/>
    </row>
    <row r="28" spans="2:6">
      <c r="B28" s="9" t="s">
        <v>18</v>
      </c>
      <c r="C28" s="10" t="s">
        <v>19</v>
      </c>
      <c r="D28" s="198">
        <v>162834.81</v>
      </c>
      <c r="E28" s="293">
        <v>174108.26</v>
      </c>
      <c r="F28" s="71"/>
    </row>
    <row r="29" spans="2:6">
      <c r="B29" s="103" t="s">
        <v>4</v>
      </c>
      <c r="C29" s="6" t="s">
        <v>20</v>
      </c>
      <c r="D29" s="199">
        <v>68092.649999999994</v>
      </c>
      <c r="E29" s="295">
        <v>69350.8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94742.16</v>
      </c>
      <c r="E31" s="295">
        <v>104757.46</v>
      </c>
      <c r="F31" s="71"/>
    </row>
    <row r="32" spans="2:6">
      <c r="B32" s="91" t="s">
        <v>23</v>
      </c>
      <c r="C32" s="11" t="s">
        <v>24</v>
      </c>
      <c r="D32" s="198">
        <v>124392.42</v>
      </c>
      <c r="E32" s="293">
        <f>SUM(E33:E39)</f>
        <v>147545.89000000001</v>
      </c>
      <c r="F32" s="71"/>
    </row>
    <row r="33" spans="2:6">
      <c r="B33" s="103" t="s">
        <v>4</v>
      </c>
      <c r="C33" s="6" t="s">
        <v>25</v>
      </c>
      <c r="D33" s="199">
        <v>19936.37</v>
      </c>
      <c r="E33" s="295">
        <v>67075.3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6702.27</v>
      </c>
      <c r="E35" s="295">
        <v>6781.33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97753.78</v>
      </c>
      <c r="E39" s="297">
        <v>73689.259999999995</v>
      </c>
      <c r="F39" s="71"/>
    </row>
    <row r="40" spans="2:6" ht="13.5" thickBot="1">
      <c r="B40" s="96" t="s">
        <v>35</v>
      </c>
      <c r="C40" s="97" t="s">
        <v>36</v>
      </c>
      <c r="D40" s="201">
        <v>58122.62</v>
      </c>
      <c r="E40" s="306">
        <v>-38572.129999999997</v>
      </c>
    </row>
    <row r="41" spans="2:6" ht="13.5" thickBot="1">
      <c r="B41" s="98" t="s">
        <v>37</v>
      </c>
      <c r="C41" s="99" t="s">
        <v>38</v>
      </c>
      <c r="D41" s="202">
        <v>569433.57000000007</v>
      </c>
      <c r="E41" s="147">
        <f>E26+E27+E40</f>
        <v>609805.94000000006</v>
      </c>
      <c r="F41" s="76"/>
    </row>
    <row r="42" spans="2:6">
      <c r="B42" s="92"/>
      <c r="C42" s="92"/>
      <c r="D42" s="93"/>
      <c r="E42" s="93"/>
      <c r="F42" s="76"/>
    </row>
    <row r="43" spans="2:6" ht="13.5" customHeight="1">
      <c r="B43" s="354" t="s">
        <v>60</v>
      </c>
      <c r="C43" s="355"/>
      <c r="D43" s="355"/>
      <c r="E43" s="355"/>
    </row>
    <row r="44" spans="2:6" ht="17.25" customHeight="1" thickBot="1">
      <c r="B44" s="352" t="s">
        <v>121</v>
      </c>
      <c r="C44" s="356"/>
      <c r="D44" s="356"/>
      <c r="E44" s="356"/>
    </row>
    <row r="45" spans="2:6" ht="13.5" thickBot="1">
      <c r="B45" s="266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46187.157399999996</v>
      </c>
      <c r="E47" s="73">
        <v>51026.936900000001</v>
      </c>
    </row>
    <row r="48" spans="2:6">
      <c r="B48" s="122" t="s">
        <v>6</v>
      </c>
      <c r="C48" s="22" t="s">
        <v>41</v>
      </c>
      <c r="D48" s="203">
        <v>49423.579599999997</v>
      </c>
      <c r="E48" s="316">
        <v>53440.104700000004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10.238096185586</v>
      </c>
      <c r="E50" s="73">
        <v>12.186</v>
      </c>
    </row>
    <row r="51" spans="2:5">
      <c r="B51" s="101" t="s">
        <v>6</v>
      </c>
      <c r="C51" s="15" t="s">
        <v>114</v>
      </c>
      <c r="D51" s="203">
        <v>10.175700000000001</v>
      </c>
      <c r="E51" s="74">
        <v>8.6113999999999997</v>
      </c>
    </row>
    <row r="52" spans="2:5" ht="12.75" customHeight="1">
      <c r="B52" s="101" t="s">
        <v>8</v>
      </c>
      <c r="C52" s="15" t="s">
        <v>115</v>
      </c>
      <c r="D52" s="203">
        <v>11.803000000000001</v>
      </c>
      <c r="E52" s="74">
        <v>12.701599999999999</v>
      </c>
    </row>
    <row r="53" spans="2:5" ht="13.5" thickBot="1">
      <c r="B53" s="102" t="s">
        <v>9</v>
      </c>
      <c r="C53" s="17" t="s">
        <v>41</v>
      </c>
      <c r="D53" s="205">
        <v>11.5215</v>
      </c>
      <c r="E53" s="309">
        <v>11.411</v>
      </c>
    </row>
    <row r="54" spans="2:5">
      <c r="B54" s="108"/>
      <c r="C54" s="109"/>
      <c r="D54" s="110"/>
      <c r="E54" s="110"/>
    </row>
    <row r="55" spans="2:5" ht="13.5" customHeight="1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customHeight="1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609585.54</v>
      </c>
      <c r="E58" s="31">
        <f>D58/E21</f>
        <v>0.99963857354357699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v>555923.67000000004</v>
      </c>
      <c r="E64" s="80">
        <f>D64/E21</f>
        <v>0.91164029986326489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53661.87</v>
      </c>
      <c r="E69" s="78">
        <f>D69/E21</f>
        <v>8.7998273680312142E-2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1734.2</v>
      </c>
      <c r="E72" s="118">
        <f>D72/E21</f>
        <v>2.8438555386980984E-3</v>
      </c>
    </row>
    <row r="73" spans="2:5">
      <c r="B73" s="23" t="s">
        <v>62</v>
      </c>
      <c r="C73" s="24" t="s">
        <v>65</v>
      </c>
      <c r="D73" s="25">
        <f>E17</f>
        <v>1513.8</v>
      </c>
      <c r="E73" s="26">
        <f>D73/E21</f>
        <v>2.4824290822749286E-3</v>
      </c>
    </row>
    <row r="74" spans="2:5">
      <c r="B74" s="119" t="s">
        <v>64</v>
      </c>
      <c r="C74" s="120" t="s">
        <v>66</v>
      </c>
      <c r="D74" s="121">
        <f>D58+D71+D72-D73</f>
        <v>609805.93999999994</v>
      </c>
      <c r="E74" s="66">
        <f>E58+E72-E73</f>
        <v>1.0000000000000002</v>
      </c>
    </row>
    <row r="75" spans="2:5">
      <c r="B75" s="14" t="s">
        <v>4</v>
      </c>
      <c r="C75" s="15" t="s">
        <v>67</v>
      </c>
      <c r="D75" s="77">
        <f>D74</f>
        <v>609805.93999999994</v>
      </c>
      <c r="E75" s="78">
        <f>E74</f>
        <v>1.0000000000000002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209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1059.5899999999999</v>
      </c>
      <c r="E11" s="229">
        <f>SUM(E12:E14)</f>
        <v>1062.57</v>
      </c>
    </row>
    <row r="12" spans="2:7">
      <c r="B12" s="170" t="s">
        <v>4</v>
      </c>
      <c r="C12" s="171" t="s">
        <v>5</v>
      </c>
      <c r="D12" s="245">
        <v>1059.5899999999999</v>
      </c>
      <c r="E12" s="251">
        <v>1062.57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1059.5899999999999</v>
      </c>
      <c r="E21" s="147">
        <f>E11-E17</f>
        <v>1062.57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994.75</v>
      </c>
      <c r="E26" s="219">
        <f>D21</f>
        <v>1059.5899999999999</v>
      </c>
    </row>
    <row r="27" spans="2:6">
      <c r="B27" s="9" t="s">
        <v>17</v>
      </c>
      <c r="C27" s="10" t="s">
        <v>111</v>
      </c>
      <c r="D27" s="198">
        <v>-49.4</v>
      </c>
      <c r="E27" s="292">
        <v>0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49.4</v>
      </c>
      <c r="E32" s="293">
        <v>0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49.4</v>
      </c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61.66</v>
      </c>
      <c r="E40" s="306">
        <v>2.98</v>
      </c>
    </row>
    <row r="41" spans="2:6" ht="13.5" thickBot="1">
      <c r="B41" s="98" t="s">
        <v>37</v>
      </c>
      <c r="C41" s="99" t="s">
        <v>38</v>
      </c>
      <c r="D41" s="202">
        <v>1007.01</v>
      </c>
      <c r="E41" s="147">
        <f>E26+E27+E40</f>
        <v>1062.57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103.94499999999999</v>
      </c>
      <c r="E47" s="148">
        <v>99.212999999999994</v>
      </c>
    </row>
    <row r="48" spans="2:6">
      <c r="B48" s="183" t="s">
        <v>6</v>
      </c>
      <c r="C48" s="184" t="s">
        <v>41</v>
      </c>
      <c r="D48" s="203">
        <v>99.212999999999994</v>
      </c>
      <c r="E48" s="148">
        <v>99.212999999999994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9.57</v>
      </c>
      <c r="E50" s="148">
        <v>10.68</v>
      </c>
    </row>
    <row r="51" spans="2:5">
      <c r="B51" s="181" t="s">
        <v>6</v>
      </c>
      <c r="C51" s="182" t="s">
        <v>114</v>
      </c>
      <c r="D51" s="203">
        <v>9.42</v>
      </c>
      <c r="E51" s="148">
        <v>7.79</v>
      </c>
    </row>
    <row r="52" spans="2:5">
      <c r="B52" s="181" t="s">
        <v>8</v>
      </c>
      <c r="C52" s="182" t="s">
        <v>115</v>
      </c>
      <c r="D52" s="203">
        <v>10.59</v>
      </c>
      <c r="E52" s="74">
        <v>11.47</v>
      </c>
    </row>
    <row r="53" spans="2:5" ht="12.75" customHeight="1" thickBot="1">
      <c r="B53" s="185" t="s">
        <v>9</v>
      </c>
      <c r="C53" s="186" t="s">
        <v>41</v>
      </c>
      <c r="D53" s="205">
        <v>10.15</v>
      </c>
      <c r="E53" s="309">
        <v>10.71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1062.57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1062.57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1062.57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1062.57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G81"/>
  <sheetViews>
    <sheetView zoomScale="80" zoomScaleNormal="80" workbookViewId="0">
      <selection activeCell="P23" sqref="P2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210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196572.73</v>
      </c>
      <c r="E11" s="229">
        <f>SUM(E12:E14)</f>
        <v>0</v>
      </c>
    </row>
    <row r="12" spans="2:7">
      <c r="B12" s="170" t="s">
        <v>4</v>
      </c>
      <c r="C12" s="171" t="s">
        <v>5</v>
      </c>
      <c r="D12" s="245">
        <v>196572.73</v>
      </c>
      <c r="E12" s="251">
        <v>0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196572.73</v>
      </c>
      <c r="E21" s="147">
        <f>E11-E17</f>
        <v>0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203163.85</v>
      </c>
      <c r="E26" s="219">
        <f>D21</f>
        <v>196572.73</v>
      </c>
    </row>
    <row r="27" spans="2:6">
      <c r="B27" s="9" t="s">
        <v>17</v>
      </c>
      <c r="C27" s="10" t="s">
        <v>111</v>
      </c>
      <c r="D27" s="198">
        <v>-44199.25</v>
      </c>
      <c r="E27" s="292">
        <v>-198083.69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44199.25</v>
      </c>
      <c r="E32" s="293">
        <v>198083.69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49.79</v>
      </c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1563.05</v>
      </c>
      <c r="E37" s="295">
        <v>736.3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42586.41</v>
      </c>
      <c r="E39" s="297">
        <v>197347.39</v>
      </c>
      <c r="F39" s="71"/>
    </row>
    <row r="40" spans="2:6" ht="13.5" thickBot="1">
      <c r="B40" s="96" t="s">
        <v>35</v>
      </c>
      <c r="C40" s="97" t="s">
        <v>36</v>
      </c>
      <c r="D40" s="201">
        <v>25370.36</v>
      </c>
      <c r="E40" s="306">
        <v>1510.96</v>
      </c>
    </row>
    <row r="41" spans="2:6" ht="13.5" thickBot="1">
      <c r="B41" s="98" t="s">
        <v>37</v>
      </c>
      <c r="C41" s="99" t="s">
        <v>38</v>
      </c>
      <c r="D41" s="202">
        <v>184334.96000000002</v>
      </c>
      <c r="E41" s="147">
        <v>0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4741.28</v>
      </c>
      <c r="E47" s="148">
        <v>3779.518</v>
      </c>
    </row>
    <row r="48" spans="2:6">
      <c r="B48" s="183" t="s">
        <v>6</v>
      </c>
      <c r="C48" s="184" t="s">
        <v>41</v>
      </c>
      <c r="D48" s="203">
        <v>3810.1480000000001</v>
      </c>
      <c r="E48" s="345" t="s">
        <v>123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42.85</v>
      </c>
      <c r="E50" s="148">
        <v>52.01</v>
      </c>
    </row>
    <row r="51" spans="2:5">
      <c r="B51" s="181" t="s">
        <v>6</v>
      </c>
      <c r="C51" s="182" t="s">
        <v>114</v>
      </c>
      <c r="D51" s="203">
        <v>42.83</v>
      </c>
      <c r="E51" s="148">
        <v>52.01</v>
      </c>
    </row>
    <row r="52" spans="2:5">
      <c r="B52" s="181" t="s">
        <v>8</v>
      </c>
      <c r="C52" s="182" t="s">
        <v>115</v>
      </c>
      <c r="D52" s="203">
        <v>49.68</v>
      </c>
      <c r="E52" s="74">
        <v>53.89</v>
      </c>
    </row>
    <row r="53" spans="2:5" ht="13.5" customHeight="1" thickBot="1">
      <c r="B53" s="185" t="s">
        <v>9</v>
      </c>
      <c r="C53" s="186" t="s">
        <v>41</v>
      </c>
      <c r="D53" s="205">
        <v>48.38</v>
      </c>
      <c r="E53" s="346" t="s">
        <v>123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0</v>
      </c>
      <c r="E58" s="31">
        <v>0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0</v>
      </c>
      <c r="E64" s="80">
        <v>0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0</v>
      </c>
      <c r="E74" s="66">
        <f>E58+E72-E73</f>
        <v>0</v>
      </c>
    </row>
    <row r="75" spans="2:5">
      <c r="B75" s="101" t="s">
        <v>4</v>
      </c>
      <c r="C75" s="15" t="s">
        <v>67</v>
      </c>
      <c r="D75" s="77">
        <f>D74</f>
        <v>0</v>
      </c>
      <c r="E75" s="78">
        <f>E74</f>
        <v>0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211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858890.75</v>
      </c>
      <c r="E11" s="229">
        <f>SUM(E12:E14)</f>
        <v>617570.06000000006</v>
      </c>
    </row>
    <row r="12" spans="2:7">
      <c r="B12" s="170" t="s">
        <v>4</v>
      </c>
      <c r="C12" s="171" t="s">
        <v>5</v>
      </c>
      <c r="D12" s="245">
        <v>858890.75</v>
      </c>
      <c r="E12" s="251">
        <v>617570.06000000006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858890.75</v>
      </c>
      <c r="E21" s="147">
        <f>E11-E17</f>
        <v>617570.06000000006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342366.49</v>
      </c>
      <c r="E26" s="219">
        <f>D21</f>
        <v>858890.75</v>
      </c>
    </row>
    <row r="27" spans="2:6">
      <c r="B27" s="9" t="s">
        <v>17</v>
      </c>
      <c r="C27" s="10" t="s">
        <v>111</v>
      </c>
      <c r="D27" s="198">
        <v>-9395.26</v>
      </c>
      <c r="E27" s="292">
        <v>-214172.05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9395.26</v>
      </c>
      <c r="E32" s="293">
        <f>SUM(E33:E39)</f>
        <v>214172.05000000002</v>
      </c>
      <c r="F32" s="71"/>
    </row>
    <row r="33" spans="2:6">
      <c r="B33" s="178" t="s">
        <v>4</v>
      </c>
      <c r="C33" s="171" t="s">
        <v>25</v>
      </c>
      <c r="D33" s="199">
        <v>6250.34</v>
      </c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440.2</v>
      </c>
      <c r="E35" s="295">
        <v>1169.04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2704.72</v>
      </c>
      <c r="E37" s="295">
        <v>5349.1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207653.91</v>
      </c>
      <c r="F39" s="71"/>
    </row>
    <row r="40" spans="2:6" ht="13.5" thickBot="1">
      <c r="B40" s="96" t="s">
        <v>35</v>
      </c>
      <c r="C40" s="97" t="s">
        <v>36</v>
      </c>
      <c r="D40" s="201">
        <v>35854.519999999997</v>
      </c>
      <c r="E40" s="306">
        <v>-27148.639999999999</v>
      </c>
    </row>
    <row r="41" spans="2:6" ht="13.5" thickBot="1">
      <c r="B41" s="98" t="s">
        <v>37</v>
      </c>
      <c r="C41" s="99" t="s">
        <v>38</v>
      </c>
      <c r="D41" s="202">
        <v>368825.75</v>
      </c>
      <c r="E41" s="147">
        <f>E26+E27+E40</f>
        <v>617570.05999999994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18506.296999999999</v>
      </c>
      <c r="E47" s="148">
        <v>40210.241000000002</v>
      </c>
    </row>
    <row r="48" spans="2:6">
      <c r="B48" s="183" t="s">
        <v>6</v>
      </c>
      <c r="C48" s="184" t="s">
        <v>41</v>
      </c>
      <c r="D48" s="203">
        <v>18035.489000000001</v>
      </c>
      <c r="E48" s="148">
        <v>30199.025000000001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18.5</v>
      </c>
      <c r="E50" s="148">
        <v>21.36</v>
      </c>
    </row>
    <row r="51" spans="2:5">
      <c r="B51" s="181" t="s">
        <v>6</v>
      </c>
      <c r="C51" s="182" t="s">
        <v>114</v>
      </c>
      <c r="D51" s="203">
        <v>18.490000000000002</v>
      </c>
      <c r="E51" s="74">
        <v>17.02</v>
      </c>
    </row>
    <row r="52" spans="2:5">
      <c r="B52" s="181" t="s">
        <v>8</v>
      </c>
      <c r="C52" s="182" t="s">
        <v>115</v>
      </c>
      <c r="D52" s="203">
        <v>20.55</v>
      </c>
      <c r="E52" s="74">
        <v>21.92</v>
      </c>
    </row>
    <row r="53" spans="2:5" ht="12.75" customHeight="1" thickBot="1">
      <c r="B53" s="185" t="s">
        <v>9</v>
      </c>
      <c r="C53" s="186" t="s">
        <v>41</v>
      </c>
      <c r="D53" s="205">
        <v>20.45</v>
      </c>
      <c r="E53" s="309">
        <v>20.45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617570.06000000006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617570.06000000006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617570.06000000006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617570.06000000006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212</v>
      </c>
      <c r="C6" s="351"/>
      <c r="D6" s="351"/>
      <c r="E6" s="351"/>
    </row>
    <row r="7" spans="2:7" ht="14.25">
      <c r="B7" s="161"/>
      <c r="C7" s="161"/>
      <c r="D7" s="161"/>
      <c r="E7" s="161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62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1707497.05</v>
      </c>
      <c r="E11" s="229">
        <f>SUM(E12:E14)</f>
        <v>94977.81</v>
      </c>
    </row>
    <row r="12" spans="2:7">
      <c r="B12" s="170" t="s">
        <v>4</v>
      </c>
      <c r="C12" s="171" t="s">
        <v>5</v>
      </c>
      <c r="D12" s="245">
        <v>1707497.05</v>
      </c>
      <c r="E12" s="251">
        <v>94977.81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1707497.05</v>
      </c>
      <c r="E21" s="147">
        <f>E11-E17</f>
        <v>94977.81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1390286.91</v>
      </c>
      <c r="E26" s="219">
        <f>D21</f>
        <v>1707497.05</v>
      </c>
    </row>
    <row r="27" spans="2:6">
      <c r="B27" s="9" t="s">
        <v>17</v>
      </c>
      <c r="C27" s="10" t="s">
        <v>111</v>
      </c>
      <c r="D27" s="198">
        <v>-12617.01</v>
      </c>
      <c r="E27" s="292">
        <v>-1527972.51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12617.01</v>
      </c>
      <c r="E32" s="293">
        <f>SUM(E33:E39)</f>
        <v>1527972.51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264.11</v>
      </c>
      <c r="E35" s="295">
        <v>583.35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12352.9</v>
      </c>
      <c r="E37" s="295">
        <v>6153.55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1521235.61</v>
      </c>
      <c r="F39" s="71"/>
    </row>
    <row r="40" spans="2:6" ht="13.5" thickBot="1">
      <c r="B40" s="96" t="s">
        <v>35</v>
      </c>
      <c r="C40" s="97" t="s">
        <v>36</v>
      </c>
      <c r="D40" s="201">
        <v>221154.46</v>
      </c>
      <c r="E40" s="306">
        <v>-84546.73</v>
      </c>
    </row>
    <row r="41" spans="2:6" ht="13.5" thickBot="1">
      <c r="B41" s="98" t="s">
        <v>37</v>
      </c>
      <c r="C41" s="99" t="s">
        <v>38</v>
      </c>
      <c r="D41" s="202">
        <v>1598824.3599999999</v>
      </c>
      <c r="E41" s="147">
        <f>E26+E27+E40</f>
        <v>94977.810000000041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135110.48699999999</v>
      </c>
      <c r="E47" s="148">
        <v>132879.14799999999</v>
      </c>
    </row>
    <row r="48" spans="2:6">
      <c r="B48" s="183" t="s">
        <v>6</v>
      </c>
      <c r="C48" s="184" t="s">
        <v>41</v>
      </c>
      <c r="D48" s="203">
        <v>134017.13</v>
      </c>
      <c r="E48" s="148">
        <v>8495.3320000000003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10.29</v>
      </c>
      <c r="E50" s="148">
        <v>12.85</v>
      </c>
    </row>
    <row r="51" spans="2:5">
      <c r="B51" s="181" t="s">
        <v>6</v>
      </c>
      <c r="C51" s="182" t="s">
        <v>114</v>
      </c>
      <c r="D51" s="203">
        <v>10.29</v>
      </c>
      <c r="E51" s="74">
        <v>8.6999999999999993</v>
      </c>
    </row>
    <row r="52" spans="2:5">
      <c r="B52" s="181" t="s">
        <v>8</v>
      </c>
      <c r="C52" s="182" t="s">
        <v>115</v>
      </c>
      <c r="D52" s="203">
        <v>12.19</v>
      </c>
      <c r="E52" s="74">
        <v>13.28</v>
      </c>
    </row>
    <row r="53" spans="2:5" ht="13.5" thickBot="1">
      <c r="B53" s="185" t="s">
        <v>9</v>
      </c>
      <c r="C53" s="186" t="s">
        <v>41</v>
      </c>
      <c r="D53" s="205">
        <v>11.93</v>
      </c>
      <c r="E53" s="309">
        <v>11.18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94977.81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94977.81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94977.81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94977.81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213</v>
      </c>
      <c r="C6" s="351"/>
      <c r="D6" s="351"/>
      <c r="E6" s="351"/>
    </row>
    <row r="7" spans="2:7" ht="14.25">
      <c r="B7" s="194"/>
      <c r="C7" s="194"/>
      <c r="D7" s="194"/>
      <c r="E7" s="194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9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1389309.54</v>
      </c>
      <c r="E11" s="229">
        <f>SUM(E12:E14)</f>
        <v>554574.91</v>
      </c>
    </row>
    <row r="12" spans="2:7">
      <c r="B12" s="170" t="s">
        <v>4</v>
      </c>
      <c r="C12" s="171" t="s">
        <v>5</v>
      </c>
      <c r="D12" s="245">
        <v>1389309.54</v>
      </c>
      <c r="E12" s="251">
        <v>554574.91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1389309.54</v>
      </c>
      <c r="E21" s="147">
        <f>E11-E17</f>
        <v>554574.91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1286523.32</v>
      </c>
      <c r="E26" s="219">
        <f>D21</f>
        <v>1389309.54</v>
      </c>
    </row>
    <row r="27" spans="2:6">
      <c r="B27" s="9" t="s">
        <v>17</v>
      </c>
      <c r="C27" s="10" t="s">
        <v>111</v>
      </c>
      <c r="D27" s="198">
        <v>-10852.57</v>
      </c>
      <c r="E27" s="292">
        <v>-788769.37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10852.57</v>
      </c>
      <c r="E32" s="293">
        <v>788769.37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188.86</v>
      </c>
      <c r="E35" s="295">
        <v>1049.21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10663.71</v>
      </c>
      <c r="E37" s="295">
        <v>7497.65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780222.51</v>
      </c>
      <c r="F39" s="71"/>
    </row>
    <row r="40" spans="2:6" ht="13.5" thickBot="1">
      <c r="B40" s="96" t="s">
        <v>35</v>
      </c>
      <c r="C40" s="97" t="s">
        <v>36</v>
      </c>
      <c r="D40" s="201">
        <v>93118.16</v>
      </c>
      <c r="E40" s="306">
        <v>-45965.26</v>
      </c>
    </row>
    <row r="41" spans="2:6" ht="13.5" thickBot="1">
      <c r="B41" s="98" t="s">
        <v>37</v>
      </c>
      <c r="C41" s="99" t="s">
        <v>38</v>
      </c>
      <c r="D41" s="202">
        <v>1368788.91</v>
      </c>
      <c r="E41" s="147">
        <f>E26+E27+E40</f>
        <v>554574.91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116744.40300000001</v>
      </c>
      <c r="E47" s="148">
        <v>114818.97</v>
      </c>
    </row>
    <row r="48" spans="2:6">
      <c r="B48" s="183" t="s">
        <v>6</v>
      </c>
      <c r="C48" s="184" t="s">
        <v>41</v>
      </c>
      <c r="D48" s="203">
        <v>115802.784</v>
      </c>
      <c r="E48" s="148">
        <v>49693.091999999997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11.02</v>
      </c>
      <c r="E50" s="148">
        <v>12.1</v>
      </c>
    </row>
    <row r="51" spans="2:5">
      <c r="B51" s="181" t="s">
        <v>6</v>
      </c>
      <c r="C51" s="182" t="s">
        <v>114</v>
      </c>
      <c r="D51" s="203">
        <v>11.01</v>
      </c>
      <c r="E51" s="74">
        <v>9.7100000000000009</v>
      </c>
    </row>
    <row r="52" spans="2:5">
      <c r="B52" s="181" t="s">
        <v>8</v>
      </c>
      <c r="C52" s="182" t="s">
        <v>115</v>
      </c>
      <c r="D52" s="203">
        <v>11.85</v>
      </c>
      <c r="E52" s="74">
        <v>12.3</v>
      </c>
    </row>
    <row r="53" spans="2:5" ht="13.5" thickBot="1">
      <c r="B53" s="185" t="s">
        <v>9</v>
      </c>
      <c r="C53" s="186" t="s">
        <v>41</v>
      </c>
      <c r="D53" s="205">
        <v>11.82</v>
      </c>
      <c r="E53" s="309">
        <v>11.16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554574.91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554574.91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554574.91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554574.91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214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117066.88</v>
      </c>
      <c r="E11" s="229">
        <f>SUM(E12:E14)</f>
        <v>2686.14</v>
      </c>
    </row>
    <row r="12" spans="2:5">
      <c r="B12" s="170" t="s">
        <v>4</v>
      </c>
      <c r="C12" s="171" t="s">
        <v>5</v>
      </c>
      <c r="D12" s="245">
        <v>117066.88</v>
      </c>
      <c r="E12" s="251">
        <v>2686.14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117066.88</v>
      </c>
      <c r="E21" s="147">
        <f>E11-E17</f>
        <v>2686.14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4881.57</v>
      </c>
      <c r="E26" s="219">
        <f>D21</f>
        <v>117066.88</v>
      </c>
    </row>
    <row r="27" spans="2:6">
      <c r="B27" s="9" t="s">
        <v>17</v>
      </c>
      <c r="C27" s="10" t="s">
        <v>111</v>
      </c>
      <c r="D27" s="198">
        <v>280.79000000000087</v>
      </c>
      <c r="E27" s="292">
        <f>E28-E32</f>
        <v>-112400.84</v>
      </c>
      <c r="F27" s="71"/>
    </row>
    <row r="28" spans="2:6">
      <c r="B28" s="9" t="s">
        <v>18</v>
      </c>
      <c r="C28" s="10" t="s">
        <v>19</v>
      </c>
      <c r="D28" s="198">
        <v>33079.39</v>
      </c>
      <c r="E28" s="293">
        <f>E29+E31</f>
        <v>31500.5</v>
      </c>
      <c r="F28" s="71"/>
    </row>
    <row r="29" spans="2:6">
      <c r="B29" s="178" t="s">
        <v>4</v>
      </c>
      <c r="C29" s="171" t="s">
        <v>20</v>
      </c>
      <c r="D29" s="199">
        <v>474.84</v>
      </c>
      <c r="E29" s="295">
        <v>229.41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32604.55</v>
      </c>
      <c r="E31" s="295">
        <v>31271.09</v>
      </c>
      <c r="F31" s="71"/>
    </row>
    <row r="32" spans="2:6">
      <c r="B32" s="91" t="s">
        <v>23</v>
      </c>
      <c r="C32" s="11" t="s">
        <v>24</v>
      </c>
      <c r="D32" s="198">
        <v>32798.6</v>
      </c>
      <c r="E32" s="293">
        <f>SUM(E33:E39)</f>
        <v>143901.34</v>
      </c>
      <c r="F32" s="71"/>
    </row>
    <row r="33" spans="2:6">
      <c r="B33" s="178" t="s">
        <v>4</v>
      </c>
      <c r="C33" s="171" t="s">
        <v>25</v>
      </c>
      <c r="D33" s="199">
        <v>2376.4899999999998</v>
      </c>
      <c r="E33" s="295">
        <f>798.91+21.85</f>
        <v>820.76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72.16</v>
      </c>
      <c r="E35" s="295">
        <v>66.540000000000006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50.05</v>
      </c>
      <c r="E37" s="295">
        <v>112.41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30299.9</v>
      </c>
      <c r="E39" s="297">
        <v>142901.63</v>
      </c>
      <c r="F39" s="71"/>
    </row>
    <row r="40" spans="2:6" ht="13.5" thickBot="1">
      <c r="B40" s="96" t="s">
        <v>35</v>
      </c>
      <c r="C40" s="97" t="s">
        <v>36</v>
      </c>
      <c r="D40" s="201">
        <v>-2179.4699999999998</v>
      </c>
      <c r="E40" s="306">
        <v>-1979.9</v>
      </c>
    </row>
    <row r="41" spans="2:6" ht="13.5" thickBot="1">
      <c r="B41" s="98" t="s">
        <v>37</v>
      </c>
      <c r="C41" s="99" t="s">
        <v>38</v>
      </c>
      <c r="D41" s="202">
        <v>2982.8900000000008</v>
      </c>
      <c r="E41" s="147">
        <f>E26+E27+E40</f>
        <v>2686.1400000000081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50.686</v>
      </c>
      <c r="E47" s="148">
        <v>1015.9410000000001</v>
      </c>
    </row>
    <row r="48" spans="2:6">
      <c r="B48" s="183" t="s">
        <v>6</v>
      </c>
      <c r="C48" s="184" t="s">
        <v>41</v>
      </c>
      <c r="D48" s="203">
        <v>28.190999999999999</v>
      </c>
      <c r="E48" s="148">
        <v>27.777999999999999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96.31</v>
      </c>
      <c r="E50" s="148">
        <v>115.23</v>
      </c>
    </row>
    <row r="51" spans="2:5">
      <c r="B51" s="181" t="s">
        <v>6</v>
      </c>
      <c r="C51" s="182" t="s">
        <v>114</v>
      </c>
      <c r="D51" s="203">
        <v>94.75</v>
      </c>
      <c r="E51" s="148">
        <v>77.8</v>
      </c>
    </row>
    <row r="52" spans="2:5">
      <c r="B52" s="181" t="s">
        <v>8</v>
      </c>
      <c r="C52" s="182" t="s">
        <v>115</v>
      </c>
      <c r="D52" s="203">
        <v>108.42</v>
      </c>
      <c r="E52" s="74">
        <v>119.11</v>
      </c>
    </row>
    <row r="53" spans="2:5" ht="13.5" customHeight="1" thickBot="1">
      <c r="B53" s="185" t="s">
        <v>9</v>
      </c>
      <c r="C53" s="186" t="s">
        <v>41</v>
      </c>
      <c r="D53" s="205">
        <v>105.81</v>
      </c>
      <c r="E53" s="309">
        <v>96.7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2686.14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2686.14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2686.14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2686.14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F81"/>
  <sheetViews>
    <sheetView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215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530572.31000000006</v>
      </c>
      <c r="E11" s="229">
        <f>SUM(E12:E14)</f>
        <v>510768.11</v>
      </c>
    </row>
    <row r="12" spans="2:5">
      <c r="B12" s="170" t="s">
        <v>4</v>
      </c>
      <c r="C12" s="171" t="s">
        <v>5</v>
      </c>
      <c r="D12" s="245">
        <v>530572.31000000006</v>
      </c>
      <c r="E12" s="251">
        <v>510768.11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530572.31000000006</v>
      </c>
      <c r="E21" s="147">
        <f>E11-E17</f>
        <v>510768.11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532372</v>
      </c>
      <c r="E26" s="219">
        <f>D21</f>
        <v>530572.31000000006</v>
      </c>
    </row>
    <row r="27" spans="2:6">
      <c r="B27" s="9" t="s">
        <v>17</v>
      </c>
      <c r="C27" s="10" t="s">
        <v>111</v>
      </c>
      <c r="D27" s="198">
        <v>15451.740000000005</v>
      </c>
      <c r="E27" s="292">
        <f>E28-E32</f>
        <v>-31614.559999999994</v>
      </c>
      <c r="F27" s="71"/>
    </row>
    <row r="28" spans="2:6">
      <c r="B28" s="9" t="s">
        <v>18</v>
      </c>
      <c r="C28" s="10" t="s">
        <v>19</v>
      </c>
      <c r="D28" s="198">
        <v>43290.130000000005</v>
      </c>
      <c r="E28" s="293">
        <v>20489.7</v>
      </c>
      <c r="F28" s="71"/>
    </row>
    <row r="29" spans="2:6">
      <c r="B29" s="178" t="s">
        <v>4</v>
      </c>
      <c r="C29" s="171" t="s">
        <v>20</v>
      </c>
      <c r="D29" s="199">
        <v>18922.04</v>
      </c>
      <c r="E29" s="295">
        <v>14419.59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24368.09</v>
      </c>
      <c r="E31" s="295">
        <v>6070.11</v>
      </c>
      <c r="F31" s="71"/>
    </row>
    <row r="32" spans="2:6">
      <c r="B32" s="91" t="s">
        <v>23</v>
      </c>
      <c r="C32" s="11" t="s">
        <v>24</v>
      </c>
      <c r="D32" s="198">
        <v>27838.39</v>
      </c>
      <c r="E32" s="293">
        <f>SUM(E33:E39)</f>
        <v>52104.259999999995</v>
      </c>
      <c r="F32" s="71"/>
    </row>
    <row r="33" spans="2:6">
      <c r="B33" s="178" t="s">
        <v>4</v>
      </c>
      <c r="C33" s="171" t="s">
        <v>25</v>
      </c>
      <c r="D33" s="199">
        <v>18807.22</v>
      </c>
      <c r="E33" s="295">
        <f>3181.71+2595.98</f>
        <v>5777.6900000000005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1730.75</v>
      </c>
      <c r="E35" s="295">
        <v>1404.84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4138.37</v>
      </c>
      <c r="E37" s="295">
        <v>3965.35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3162.05</v>
      </c>
      <c r="E39" s="297">
        <v>40956.379999999997</v>
      </c>
      <c r="F39" s="71"/>
    </row>
    <row r="40" spans="2:6" ht="13.5" thickBot="1">
      <c r="B40" s="96" t="s">
        <v>35</v>
      </c>
      <c r="C40" s="97" t="s">
        <v>36</v>
      </c>
      <c r="D40" s="201">
        <v>5277.68</v>
      </c>
      <c r="E40" s="306">
        <v>11810.36</v>
      </c>
    </row>
    <row r="41" spans="2:6" ht="13.5" thickBot="1">
      <c r="B41" s="98" t="s">
        <v>37</v>
      </c>
      <c r="C41" s="99" t="s">
        <v>38</v>
      </c>
      <c r="D41" s="202">
        <v>553101.42000000004</v>
      </c>
      <c r="E41" s="147">
        <f>E26+E27+E40</f>
        <v>510768.11000000004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2482.7309599999999</v>
      </c>
      <c r="E47" s="148">
        <v>2428.5819999999999</v>
      </c>
    </row>
    <row r="48" spans="2:6">
      <c r="B48" s="183" t="s">
        <v>6</v>
      </c>
      <c r="C48" s="184" t="s">
        <v>41</v>
      </c>
      <c r="D48" s="203">
        <v>2554.6229735347101</v>
      </c>
      <c r="E48" s="148">
        <v>2286.6460000000002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214.43</v>
      </c>
      <c r="E50" s="148">
        <v>218.47</v>
      </c>
    </row>
    <row r="51" spans="2:5">
      <c r="B51" s="181" t="s">
        <v>6</v>
      </c>
      <c r="C51" s="182" t="s">
        <v>114</v>
      </c>
      <c r="D51" s="203">
        <v>214.09</v>
      </c>
      <c r="E51" s="148">
        <v>215.49</v>
      </c>
    </row>
    <row r="52" spans="2:5">
      <c r="B52" s="181" t="s">
        <v>8</v>
      </c>
      <c r="C52" s="182" t="s">
        <v>115</v>
      </c>
      <c r="D52" s="203">
        <v>216.89000000000001</v>
      </c>
      <c r="E52" s="74">
        <v>223.62</v>
      </c>
    </row>
    <row r="53" spans="2:5" ht="13.5" thickBot="1">
      <c r="B53" s="185" t="s">
        <v>9</v>
      </c>
      <c r="C53" s="186" t="s">
        <v>41</v>
      </c>
      <c r="D53" s="205">
        <v>216.51</v>
      </c>
      <c r="E53" s="309">
        <v>223.37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510768.11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24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510768.11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510768.11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510768.11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216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147532.22</v>
      </c>
      <c r="E11" s="229">
        <f>SUM(E12:E14)</f>
        <v>127430.24</v>
      </c>
    </row>
    <row r="12" spans="2:7">
      <c r="B12" s="170" t="s">
        <v>4</v>
      </c>
      <c r="C12" s="171" t="s">
        <v>5</v>
      </c>
      <c r="D12" s="245">
        <v>147532.22</v>
      </c>
      <c r="E12" s="251">
        <v>127430.24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147532.22</v>
      </c>
      <c r="E21" s="147">
        <f>E11-E17</f>
        <v>127430.24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208477.12</v>
      </c>
      <c r="E26" s="219">
        <f>D21</f>
        <v>147532.22</v>
      </c>
    </row>
    <row r="27" spans="2:6">
      <c r="B27" s="9" t="s">
        <v>17</v>
      </c>
      <c r="C27" s="10" t="s">
        <v>111</v>
      </c>
      <c r="D27" s="198">
        <v>-57765.799999999996</v>
      </c>
      <c r="E27" s="292">
        <f>E28-E32</f>
        <v>-11625.400000000001</v>
      </c>
      <c r="F27" s="71"/>
    </row>
    <row r="28" spans="2:6">
      <c r="B28" s="9" t="s">
        <v>18</v>
      </c>
      <c r="C28" s="10" t="s">
        <v>19</v>
      </c>
      <c r="D28" s="198">
        <v>17198.010000000002</v>
      </c>
      <c r="E28" s="293">
        <v>10990.86</v>
      </c>
      <c r="F28" s="71"/>
    </row>
    <row r="29" spans="2:6">
      <c r="B29" s="178" t="s">
        <v>4</v>
      </c>
      <c r="C29" s="171" t="s">
        <v>20</v>
      </c>
      <c r="D29" s="199">
        <v>12524.74</v>
      </c>
      <c r="E29" s="295">
        <v>10990.86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4673.2700000000004</v>
      </c>
      <c r="E31" s="295"/>
      <c r="F31" s="71"/>
    </row>
    <row r="32" spans="2:6">
      <c r="B32" s="91" t="s">
        <v>23</v>
      </c>
      <c r="C32" s="11" t="s">
        <v>24</v>
      </c>
      <c r="D32" s="198">
        <v>74963.81</v>
      </c>
      <c r="E32" s="293">
        <f>SUM(E33:E39)</f>
        <v>22616.260000000002</v>
      </c>
      <c r="F32" s="71"/>
    </row>
    <row r="33" spans="2:6">
      <c r="B33" s="178" t="s">
        <v>4</v>
      </c>
      <c r="C33" s="171" t="s">
        <v>25</v>
      </c>
      <c r="D33" s="199">
        <v>11388.59</v>
      </c>
      <c r="E33" s="295">
        <f>15666.66-125.79</f>
        <v>15540.869999999999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1340.36</v>
      </c>
      <c r="E35" s="295">
        <v>1063.8399999999999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654.45000000000005</v>
      </c>
      <c r="E37" s="295">
        <v>474.56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61580.41</v>
      </c>
      <c r="E39" s="297">
        <v>5536.99</v>
      </c>
      <c r="F39" s="71"/>
    </row>
    <row r="40" spans="2:6" ht="13.5" thickBot="1">
      <c r="B40" s="96" t="s">
        <v>35</v>
      </c>
      <c r="C40" s="97" t="s">
        <v>36</v>
      </c>
      <c r="D40" s="201">
        <v>3271.67</v>
      </c>
      <c r="E40" s="306">
        <v>-8476.58</v>
      </c>
    </row>
    <row r="41" spans="2:6" ht="13.5" thickBot="1">
      <c r="B41" s="98" t="s">
        <v>37</v>
      </c>
      <c r="C41" s="99" t="s">
        <v>38</v>
      </c>
      <c r="D41" s="202">
        <v>153982.99000000002</v>
      </c>
      <c r="E41" s="147">
        <f>E26+E27+E40</f>
        <v>127430.24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1300.21903</v>
      </c>
      <c r="E47" s="220">
        <v>914.81499999999994</v>
      </c>
    </row>
    <row r="48" spans="2:6">
      <c r="B48" s="183" t="s">
        <v>6</v>
      </c>
      <c r="C48" s="184" t="s">
        <v>41</v>
      </c>
      <c r="D48" s="203">
        <v>945.49300012280469</v>
      </c>
      <c r="E48" s="220">
        <v>830.48900000000003</v>
      </c>
    </row>
    <row r="49" spans="2:5">
      <c r="B49" s="119" t="s">
        <v>23</v>
      </c>
      <c r="C49" s="123" t="s">
        <v>113</v>
      </c>
      <c r="D49" s="277"/>
      <c r="E49" s="207"/>
    </row>
    <row r="50" spans="2:5">
      <c r="B50" s="181" t="s">
        <v>4</v>
      </c>
      <c r="C50" s="182" t="s">
        <v>40</v>
      </c>
      <c r="D50" s="203">
        <v>160.34</v>
      </c>
      <c r="E50" s="221">
        <v>161.27000000000001</v>
      </c>
    </row>
    <row r="51" spans="2:5">
      <c r="B51" s="181" t="s">
        <v>6</v>
      </c>
      <c r="C51" s="182" t="s">
        <v>114</v>
      </c>
      <c r="D51" s="203">
        <v>159.46</v>
      </c>
      <c r="E51" s="338">
        <v>138.05000000000001</v>
      </c>
    </row>
    <row r="52" spans="2:5">
      <c r="B52" s="181" t="s">
        <v>8</v>
      </c>
      <c r="C52" s="182" t="s">
        <v>115</v>
      </c>
      <c r="D52" s="203">
        <v>163.69</v>
      </c>
      <c r="E52" s="338">
        <v>162.4</v>
      </c>
    </row>
    <row r="53" spans="2:5" ht="13.5" customHeight="1" thickBot="1">
      <c r="B53" s="185" t="s">
        <v>9</v>
      </c>
      <c r="C53" s="186" t="s">
        <v>41</v>
      </c>
      <c r="D53" s="205">
        <v>162.86000000000001</v>
      </c>
      <c r="E53" s="309">
        <v>153.44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127430.24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4.2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127430.24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127430.24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127430.24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217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16934.560000000001</v>
      </c>
      <c r="E11" s="229">
        <f>SUM(E12:E14)</f>
        <v>14089.61</v>
      </c>
    </row>
    <row r="12" spans="2:7">
      <c r="B12" s="170" t="s">
        <v>4</v>
      </c>
      <c r="C12" s="171" t="s">
        <v>5</v>
      </c>
      <c r="D12" s="245">
        <v>16934.560000000001</v>
      </c>
      <c r="E12" s="251">
        <v>14089.61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16934.560000000001</v>
      </c>
      <c r="E21" s="147">
        <f>E11-E17</f>
        <v>14089.61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104822.06</v>
      </c>
      <c r="E26" s="219">
        <f>D21</f>
        <v>16934.560000000001</v>
      </c>
    </row>
    <row r="27" spans="2:6">
      <c r="B27" s="9" t="s">
        <v>17</v>
      </c>
      <c r="C27" s="10" t="s">
        <v>111</v>
      </c>
      <c r="D27" s="198">
        <v>-87054.95</v>
      </c>
      <c r="E27" s="292">
        <f>E28-E32</f>
        <v>-1580.58</v>
      </c>
      <c r="F27" s="71"/>
    </row>
    <row r="28" spans="2:6">
      <c r="B28" s="9" t="s">
        <v>18</v>
      </c>
      <c r="C28" s="10" t="s">
        <v>19</v>
      </c>
      <c r="D28" s="198">
        <v>3394.98</v>
      </c>
      <c r="E28" s="293">
        <v>2424.75</v>
      </c>
      <c r="F28" s="71"/>
    </row>
    <row r="29" spans="2:6">
      <c r="B29" s="178" t="s">
        <v>4</v>
      </c>
      <c r="C29" s="171" t="s">
        <v>20</v>
      </c>
      <c r="D29" s="199">
        <v>3394.98</v>
      </c>
      <c r="E29" s="295">
        <v>2424.75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90449.93</v>
      </c>
      <c r="E32" s="293">
        <f>SUM(E33:E39)</f>
        <v>4005.33</v>
      </c>
      <c r="F32" s="71"/>
    </row>
    <row r="33" spans="2:6">
      <c r="B33" s="178" t="s">
        <v>4</v>
      </c>
      <c r="C33" s="171" t="s">
        <v>25</v>
      </c>
      <c r="D33" s="199">
        <v>20015.13</v>
      </c>
      <c r="E33" s="295">
        <f>827.34-59.87</f>
        <v>767.47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247.38</v>
      </c>
      <c r="E35" s="295">
        <v>137.82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244.38</v>
      </c>
      <c r="E37" s="295">
        <v>72.010000000000005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69943.039999999994</v>
      </c>
      <c r="E39" s="297">
        <v>3028.03</v>
      </c>
      <c r="F39" s="71"/>
    </row>
    <row r="40" spans="2:6" ht="13.5" thickBot="1">
      <c r="B40" s="96" t="s">
        <v>35</v>
      </c>
      <c r="C40" s="97" t="s">
        <v>36</v>
      </c>
      <c r="D40" s="201">
        <v>2624.91</v>
      </c>
      <c r="E40" s="306">
        <v>-1264.3699999999999</v>
      </c>
    </row>
    <row r="41" spans="2:6" ht="13.5" thickBot="1">
      <c r="B41" s="98" t="s">
        <v>37</v>
      </c>
      <c r="C41" s="99" t="s">
        <v>38</v>
      </c>
      <c r="D41" s="202">
        <v>20392.02</v>
      </c>
      <c r="E41" s="147">
        <f>E26+E27+E40</f>
        <v>14089.61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763.28594999999996</v>
      </c>
      <c r="E47" s="148">
        <v>123.854</v>
      </c>
    </row>
    <row r="48" spans="2:6">
      <c r="B48" s="183" t="s">
        <v>6</v>
      </c>
      <c r="C48" s="184" t="s">
        <v>41</v>
      </c>
      <c r="D48" s="203">
        <v>145.07697780307339</v>
      </c>
      <c r="E48" s="148">
        <v>112.465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137.33000000000001</v>
      </c>
      <c r="E50" s="148">
        <v>136.72999999999999</v>
      </c>
    </row>
    <row r="51" spans="2:5">
      <c r="B51" s="181" t="s">
        <v>6</v>
      </c>
      <c r="C51" s="182" t="s">
        <v>114</v>
      </c>
      <c r="D51" s="203">
        <v>135.59</v>
      </c>
      <c r="E51" s="148">
        <v>106.65</v>
      </c>
    </row>
    <row r="52" spans="2:5">
      <c r="B52" s="181" t="s">
        <v>8</v>
      </c>
      <c r="C52" s="182" t="s">
        <v>115</v>
      </c>
      <c r="D52" s="203">
        <v>142.28</v>
      </c>
      <c r="E52" s="74">
        <v>138.30000000000001</v>
      </c>
    </row>
    <row r="53" spans="2:5" ht="12.75" customHeight="1" thickBot="1">
      <c r="B53" s="185" t="s">
        <v>9</v>
      </c>
      <c r="C53" s="186" t="s">
        <v>41</v>
      </c>
      <c r="D53" s="205">
        <v>140.56</v>
      </c>
      <c r="E53" s="309">
        <v>125.28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14089.61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14089.61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14089.61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14089.61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F81"/>
  <sheetViews>
    <sheetView zoomScale="80" zoomScaleNormal="80" workbookViewId="0">
      <selection activeCell="G13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218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73412.56</v>
      </c>
      <c r="E11" s="229">
        <f>SUM(E12:E14)</f>
        <v>47360.69</v>
      </c>
    </row>
    <row r="12" spans="2:5">
      <c r="B12" s="170" t="s">
        <v>4</v>
      </c>
      <c r="C12" s="171" t="s">
        <v>5</v>
      </c>
      <c r="D12" s="245">
        <v>73412.56</v>
      </c>
      <c r="E12" s="251">
        <v>47360.69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73412.56</v>
      </c>
      <c r="E21" s="147">
        <f>E11-E17</f>
        <v>47360.69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101938.44</v>
      </c>
      <c r="E26" s="219">
        <f>D21</f>
        <v>73412.56</v>
      </c>
    </row>
    <row r="27" spans="2:6">
      <c r="B27" s="9" t="s">
        <v>17</v>
      </c>
      <c r="C27" s="10" t="s">
        <v>111</v>
      </c>
      <c r="D27" s="198">
        <v>-1289.44</v>
      </c>
      <c r="E27" s="292">
        <f>E28-E32</f>
        <v>-13325.71</v>
      </c>
      <c r="F27" s="71"/>
    </row>
    <row r="28" spans="2:6">
      <c r="B28" s="9" t="s">
        <v>18</v>
      </c>
      <c r="C28" s="10" t="s">
        <v>19</v>
      </c>
      <c r="D28" s="198">
        <v>0</v>
      </c>
      <c r="E28" s="295">
        <v>47936.54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47936.54</v>
      </c>
      <c r="F31" s="71"/>
    </row>
    <row r="32" spans="2:6">
      <c r="B32" s="91" t="s">
        <v>23</v>
      </c>
      <c r="C32" s="11" t="s">
        <v>24</v>
      </c>
      <c r="D32" s="198">
        <v>1289.44</v>
      </c>
      <c r="E32" s="293">
        <v>61262.25</v>
      </c>
      <c r="F32" s="71"/>
    </row>
    <row r="33" spans="2:6">
      <c r="B33" s="178" t="s">
        <v>4</v>
      </c>
      <c r="C33" s="171" t="s">
        <v>25</v>
      </c>
      <c r="D33" s="199"/>
      <c r="E33" s="295">
        <v>12483.06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405.15</v>
      </c>
      <c r="E35" s="295">
        <v>376.94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884.29</v>
      </c>
      <c r="E37" s="295">
        <v>485.29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47916.959999999999</v>
      </c>
      <c r="F39" s="71"/>
    </row>
    <row r="40" spans="2:6" ht="13.5" thickBot="1">
      <c r="B40" s="96" t="s">
        <v>35</v>
      </c>
      <c r="C40" s="97" t="s">
        <v>36</v>
      </c>
      <c r="D40" s="201">
        <v>-1019.88</v>
      </c>
      <c r="E40" s="306">
        <v>-12726.16</v>
      </c>
    </row>
    <row r="41" spans="2:6" ht="13.5" thickBot="1">
      <c r="B41" s="98" t="s">
        <v>37</v>
      </c>
      <c r="C41" s="99" t="s">
        <v>38</v>
      </c>
      <c r="D41" s="202">
        <v>99629.119999999995</v>
      </c>
      <c r="E41" s="147">
        <f>E26+E27+E40</f>
        <v>47360.69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999.88660000000004</v>
      </c>
      <c r="E47" s="148">
        <v>766.07069999999999</v>
      </c>
    </row>
    <row r="48" spans="2:6">
      <c r="B48" s="183" t="s">
        <v>6</v>
      </c>
      <c r="C48" s="184" t="s">
        <v>41</v>
      </c>
      <c r="D48" s="203">
        <v>987.30669999999998</v>
      </c>
      <c r="E48" s="148">
        <v>958.71849999999995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101.95</v>
      </c>
      <c r="E50" s="148">
        <v>95.83</v>
      </c>
    </row>
    <row r="51" spans="2:5">
      <c r="B51" s="181" t="s">
        <v>6</v>
      </c>
      <c r="C51" s="182" t="s">
        <v>114</v>
      </c>
      <c r="D51" s="203">
        <v>95.81</v>
      </c>
      <c r="E51" s="148">
        <v>49.4</v>
      </c>
    </row>
    <row r="52" spans="2:5">
      <c r="B52" s="181" t="s">
        <v>8</v>
      </c>
      <c r="C52" s="182" t="s">
        <v>115</v>
      </c>
      <c r="D52" s="203">
        <v>107.57000000000001</v>
      </c>
      <c r="E52" s="74">
        <v>50.94</v>
      </c>
    </row>
    <row r="53" spans="2:5" ht="14.25" customHeight="1" thickBot="1">
      <c r="B53" s="185" t="s">
        <v>9</v>
      </c>
      <c r="C53" s="186" t="s">
        <v>41</v>
      </c>
      <c r="D53" s="205">
        <v>100.91</v>
      </c>
      <c r="E53" s="309">
        <v>49.4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47360.69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47360.69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47360.69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47360.69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4" width="17.85546875" style="83" customWidth="1"/>
    <col min="5" max="5" width="17.14062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102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1099707.0399999998</v>
      </c>
      <c r="E11" s="229">
        <f>SUM(E12:E14)</f>
        <v>1086523.74</v>
      </c>
    </row>
    <row r="12" spans="2:7">
      <c r="B12" s="105" t="s">
        <v>4</v>
      </c>
      <c r="C12" s="6" t="s">
        <v>5</v>
      </c>
      <c r="D12" s="245">
        <v>1098820.5899999999</v>
      </c>
      <c r="E12" s="251">
        <f>1040030.39+43772.07-565.82</f>
        <v>1083236.6399999999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>
        <v>886.45</v>
      </c>
      <c r="E14" s="252">
        <f>E15</f>
        <v>3287.1</v>
      </c>
    </row>
    <row r="15" spans="2:7">
      <c r="B15" s="105" t="s">
        <v>106</v>
      </c>
      <c r="C15" s="68" t="s">
        <v>11</v>
      </c>
      <c r="D15" s="241">
        <v>886.45</v>
      </c>
      <c r="E15" s="252">
        <v>3287.1</v>
      </c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1381.98</v>
      </c>
      <c r="E17" s="254">
        <f>E18</f>
        <v>882.34</v>
      </c>
    </row>
    <row r="18" spans="2:6">
      <c r="B18" s="105" t="s">
        <v>4</v>
      </c>
      <c r="C18" s="6" t="s">
        <v>11</v>
      </c>
      <c r="D18" s="243">
        <v>1381.98</v>
      </c>
      <c r="E18" s="253">
        <v>882.34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1098325.0599999998</v>
      </c>
      <c r="E21" s="147">
        <f>E11-E17</f>
        <v>1085641.3999999999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8" customHeight="1" thickBot="1">
      <c r="B24" s="352" t="s">
        <v>105</v>
      </c>
      <c r="C24" s="362"/>
      <c r="D24" s="362"/>
      <c r="E24" s="362"/>
    </row>
    <row r="25" spans="2:6" ht="13.5" thickBot="1">
      <c r="B25" s="85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972177.88</v>
      </c>
      <c r="E26" s="219">
        <f>D21</f>
        <v>1098325.0599999998</v>
      </c>
    </row>
    <row r="27" spans="2:6">
      <c r="B27" s="9" t="s">
        <v>17</v>
      </c>
      <c r="C27" s="10" t="s">
        <v>111</v>
      </c>
      <c r="D27" s="198">
        <v>71088.350000000006</v>
      </c>
      <c r="E27" s="292">
        <f>E28-E32</f>
        <v>16999.820000000007</v>
      </c>
      <c r="F27" s="71"/>
    </row>
    <row r="28" spans="2:6">
      <c r="B28" s="9" t="s">
        <v>18</v>
      </c>
      <c r="C28" s="10" t="s">
        <v>19</v>
      </c>
      <c r="D28" s="198">
        <v>167134.35</v>
      </c>
      <c r="E28" s="293">
        <v>154782.32</v>
      </c>
      <c r="F28" s="71"/>
    </row>
    <row r="29" spans="2:6">
      <c r="B29" s="103" t="s">
        <v>4</v>
      </c>
      <c r="C29" s="6" t="s">
        <v>20</v>
      </c>
      <c r="D29" s="199">
        <v>164724.38</v>
      </c>
      <c r="E29" s="295">
        <v>153165.91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2409.9699999999998</v>
      </c>
      <c r="E31" s="295">
        <v>1616.41</v>
      </c>
      <c r="F31" s="71"/>
    </row>
    <row r="32" spans="2:6">
      <c r="B32" s="91" t="s">
        <v>23</v>
      </c>
      <c r="C32" s="11" t="s">
        <v>24</v>
      </c>
      <c r="D32" s="198">
        <v>96046</v>
      </c>
      <c r="E32" s="293">
        <f>SUM(E33:E39)</f>
        <v>137782.5</v>
      </c>
      <c r="F32" s="71"/>
    </row>
    <row r="33" spans="2:6">
      <c r="B33" s="103" t="s">
        <v>4</v>
      </c>
      <c r="C33" s="6" t="s">
        <v>25</v>
      </c>
      <c r="D33" s="199">
        <v>67835.17</v>
      </c>
      <c r="E33" s="295">
        <f>104209.49-14.78</f>
        <v>104194.71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11323.11</v>
      </c>
      <c r="E35" s="295">
        <v>11186.88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16887.72</v>
      </c>
      <c r="E39" s="297">
        <v>22400.91</v>
      </c>
      <c r="F39" s="71"/>
    </row>
    <row r="40" spans="2:6" ht="13.5" thickBot="1">
      <c r="B40" s="96" t="s">
        <v>35</v>
      </c>
      <c r="C40" s="97" t="s">
        <v>36</v>
      </c>
      <c r="D40" s="201">
        <v>42320.38</v>
      </c>
      <c r="E40" s="306">
        <v>-29683.48</v>
      </c>
    </row>
    <row r="41" spans="2:6" ht="13.5" thickBot="1">
      <c r="B41" s="98" t="s">
        <v>37</v>
      </c>
      <c r="C41" s="99" t="s">
        <v>38</v>
      </c>
      <c r="D41" s="202">
        <v>1085586.6099999999</v>
      </c>
      <c r="E41" s="147">
        <f>E26+E27+E40</f>
        <v>1085641.3999999999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5.75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97575.417050000004</v>
      </c>
      <c r="E47" s="73">
        <v>104430.24140000001</v>
      </c>
    </row>
    <row r="48" spans="2:6">
      <c r="B48" s="122" t="s">
        <v>6</v>
      </c>
      <c r="C48" s="22" t="s">
        <v>41</v>
      </c>
      <c r="D48" s="203">
        <v>104541.14480513852</v>
      </c>
      <c r="E48" s="316">
        <v>105920.7213</v>
      </c>
    </row>
    <row r="49" spans="2:5">
      <c r="B49" s="119" t="s">
        <v>23</v>
      </c>
      <c r="C49" s="123" t="s">
        <v>113</v>
      </c>
      <c r="D49" s="204"/>
      <c r="E49" s="124"/>
    </row>
    <row r="50" spans="2:5">
      <c r="B50" s="101" t="s">
        <v>4</v>
      </c>
      <c r="C50" s="15" t="s">
        <v>40</v>
      </c>
      <c r="D50" s="203">
        <v>9.9633484477478191</v>
      </c>
      <c r="E50" s="73">
        <v>10.517300000000001</v>
      </c>
    </row>
    <row r="51" spans="2:5">
      <c r="B51" s="101" t="s">
        <v>6</v>
      </c>
      <c r="C51" s="15" t="s">
        <v>114</v>
      </c>
      <c r="D51" s="203">
        <v>9.9633000000000003</v>
      </c>
      <c r="E51" s="74">
        <v>9.5909999999999993</v>
      </c>
    </row>
    <row r="52" spans="2:5" ht="12" customHeight="1">
      <c r="B52" s="101" t="s">
        <v>8</v>
      </c>
      <c r="C52" s="15" t="s">
        <v>115</v>
      </c>
      <c r="D52" s="203">
        <v>10.3843</v>
      </c>
      <c r="E52" s="74">
        <v>10.651999999999999</v>
      </c>
    </row>
    <row r="53" spans="2:5" ht="13.5" thickBot="1">
      <c r="B53" s="102" t="s">
        <v>9</v>
      </c>
      <c r="C53" s="17" t="s">
        <v>41</v>
      </c>
      <c r="D53" s="205">
        <v>10.3843</v>
      </c>
      <c r="E53" s="309">
        <v>10.249599999999999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1083236.6400000001</v>
      </c>
      <c r="E58" s="31">
        <f>D58/E21</f>
        <v>0.99778494077326108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f>1040030.39-565.82</f>
        <v>1039464.5700000001</v>
      </c>
      <c r="E64" s="80">
        <f>D64/E21</f>
        <v>0.95746585382613458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43772.07</v>
      </c>
      <c r="E69" s="78">
        <f>D69/E21</f>
        <v>4.0319086947126374E-2</v>
      </c>
    </row>
    <row r="70" spans="2:5">
      <c r="B70" s="111" t="s">
        <v>58</v>
      </c>
      <c r="C70" s="112" t="s">
        <v>59</v>
      </c>
      <c r="D70" s="239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3287.1</v>
      </c>
      <c r="E72" s="118">
        <f>D72/E21</f>
        <v>3.0277953659468035E-3</v>
      </c>
    </row>
    <row r="73" spans="2:5">
      <c r="B73" s="23" t="s">
        <v>62</v>
      </c>
      <c r="C73" s="24" t="s">
        <v>65</v>
      </c>
      <c r="D73" s="25">
        <f>E17</f>
        <v>882.34</v>
      </c>
      <c r="E73" s="26">
        <f>D73/E21</f>
        <v>8.1273613920766112E-4</v>
      </c>
    </row>
    <row r="74" spans="2:5">
      <c r="B74" s="119" t="s">
        <v>64</v>
      </c>
      <c r="C74" s="120" t="s">
        <v>66</v>
      </c>
      <c r="D74" s="121">
        <f>D58+D71+D72-D73</f>
        <v>1085641.4000000001</v>
      </c>
      <c r="E74" s="66">
        <f>E58+E72-E73</f>
        <v>1.0000000000000002</v>
      </c>
    </row>
    <row r="75" spans="2:5">
      <c r="B75" s="14" t="s">
        <v>4</v>
      </c>
      <c r="C75" s="15" t="s">
        <v>67</v>
      </c>
      <c r="D75" s="77">
        <f>D74</f>
        <v>1085641.4000000001</v>
      </c>
      <c r="E75" s="78">
        <f>E74</f>
        <v>1.0000000000000002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14"/>
      <c r="E78" s="214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219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650949.53</v>
      </c>
      <c r="E11" s="229">
        <f>SUM(E12:E14)</f>
        <v>536944.78</v>
      </c>
    </row>
    <row r="12" spans="2:7">
      <c r="B12" s="170" t="s">
        <v>4</v>
      </c>
      <c r="C12" s="171" t="s">
        <v>5</v>
      </c>
      <c r="D12" s="245">
        <v>650949.53</v>
      </c>
      <c r="E12" s="251">
        <v>536944.78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650949.53</v>
      </c>
      <c r="E21" s="147">
        <f>E11-E17</f>
        <v>536944.78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693310.99</v>
      </c>
      <c r="E26" s="219">
        <f>D21</f>
        <v>650949.53</v>
      </c>
    </row>
    <row r="27" spans="2:6">
      <c r="B27" s="9" t="s">
        <v>17</v>
      </c>
      <c r="C27" s="10" t="s">
        <v>111</v>
      </c>
      <c r="D27" s="198">
        <v>-6092.96</v>
      </c>
      <c r="E27" s="292">
        <v>-5116.88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6092.96</v>
      </c>
      <c r="E32" s="293">
        <f>SUM(E33:E39)</f>
        <v>5116.8799999999992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518.84</v>
      </c>
      <c r="E35" s="295">
        <v>607.19000000000005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5574.12</v>
      </c>
      <c r="E37" s="295">
        <v>4509.6899999999996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1161.21</v>
      </c>
      <c r="E40" s="306">
        <v>-108887.87</v>
      </c>
    </row>
    <row r="41" spans="2:6" ht="13.5" thickBot="1">
      <c r="B41" s="98" t="s">
        <v>37</v>
      </c>
      <c r="C41" s="99" t="s">
        <v>38</v>
      </c>
      <c r="D41" s="202">
        <v>688379.24</v>
      </c>
      <c r="E41" s="147">
        <f>E26+E27+E40</f>
        <v>536944.78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8478.7940999999992</v>
      </c>
      <c r="E47" s="148">
        <v>8331.6208000000006</v>
      </c>
    </row>
    <row r="48" spans="2:6">
      <c r="B48" s="183" t="s">
        <v>6</v>
      </c>
      <c r="C48" s="184" t="s">
        <v>41</v>
      </c>
      <c r="D48" s="203">
        <v>8405.1188999999995</v>
      </c>
      <c r="E48" s="148">
        <v>8255.6085999999996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81.77</v>
      </c>
      <c r="E50" s="148">
        <v>78.13</v>
      </c>
    </row>
    <row r="51" spans="2:5">
      <c r="B51" s="181" t="s">
        <v>6</v>
      </c>
      <c r="C51" s="182" t="s">
        <v>114</v>
      </c>
      <c r="D51" s="203">
        <v>77.73</v>
      </c>
      <c r="E51" s="148">
        <v>52.88</v>
      </c>
    </row>
    <row r="52" spans="2:5">
      <c r="B52" s="181" t="s">
        <v>8</v>
      </c>
      <c r="C52" s="182" t="s">
        <v>115</v>
      </c>
      <c r="D52" s="203">
        <v>86.38</v>
      </c>
      <c r="E52" s="74">
        <v>79.569999999999993</v>
      </c>
    </row>
    <row r="53" spans="2:5" ht="12.75" customHeight="1" thickBot="1">
      <c r="B53" s="185" t="s">
        <v>9</v>
      </c>
      <c r="C53" s="186" t="s">
        <v>41</v>
      </c>
      <c r="D53" s="205">
        <v>81.900000000000006</v>
      </c>
      <c r="E53" s="309">
        <v>65.040000000000006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536944.78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536944.78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536944.78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536944.78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220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301945.83</v>
      </c>
      <c r="E11" s="229">
        <f>SUM(E12:E14)</f>
        <v>288392.59000000003</v>
      </c>
    </row>
    <row r="12" spans="2:7">
      <c r="B12" s="170" t="s">
        <v>4</v>
      </c>
      <c r="C12" s="171" t="s">
        <v>5</v>
      </c>
      <c r="D12" s="245">
        <v>301945.83</v>
      </c>
      <c r="E12" s="251">
        <v>288392.59000000003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301945.83</v>
      </c>
      <c r="E21" s="147">
        <f>E11-E17</f>
        <v>288392.59000000003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305221.19</v>
      </c>
      <c r="E26" s="219">
        <f>D21</f>
        <v>301945.83</v>
      </c>
    </row>
    <row r="27" spans="2:6">
      <c r="B27" s="9" t="s">
        <v>17</v>
      </c>
      <c r="C27" s="10" t="s">
        <v>111</v>
      </c>
      <c r="D27" s="198">
        <v>-3497.45</v>
      </c>
      <c r="E27" s="292">
        <v>-2271.12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3497.45</v>
      </c>
      <c r="E32" s="293">
        <f>SUM(E33:E39)</f>
        <v>2271.1200000000003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0.83</v>
      </c>
      <c r="E35" s="295">
        <v>0.78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2501.69</v>
      </c>
      <c r="E37" s="295">
        <v>2270.34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994.93</v>
      </c>
      <c r="E39" s="297"/>
      <c r="F39" s="71"/>
    </row>
    <row r="40" spans="2:6" ht="13.5" thickBot="1">
      <c r="B40" s="96" t="s">
        <v>35</v>
      </c>
      <c r="C40" s="97" t="s">
        <v>36</v>
      </c>
      <c r="D40" s="201">
        <v>11807.93</v>
      </c>
      <c r="E40" s="306">
        <v>-11282.12</v>
      </c>
    </row>
    <row r="41" spans="2:6" ht="13.5" thickBot="1">
      <c r="B41" s="98" t="s">
        <v>37</v>
      </c>
      <c r="C41" s="99" t="s">
        <v>38</v>
      </c>
      <c r="D41" s="202">
        <v>313531.67</v>
      </c>
      <c r="E41" s="147">
        <f>E26+E27+E40</f>
        <v>288392.59000000003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8117.5848999999998</v>
      </c>
      <c r="E47" s="148">
        <v>7962.7064</v>
      </c>
    </row>
    <row r="48" spans="2:6">
      <c r="B48" s="183" t="s">
        <v>6</v>
      </c>
      <c r="C48" s="184" t="s">
        <v>41</v>
      </c>
      <c r="D48" s="203">
        <v>8026.9243999999999</v>
      </c>
      <c r="E48" s="148">
        <v>7899.0027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37.6</v>
      </c>
      <c r="E50" s="148">
        <v>37.92</v>
      </c>
    </row>
    <row r="51" spans="2:5">
      <c r="B51" s="181" t="s">
        <v>6</v>
      </c>
      <c r="C51" s="182" t="s">
        <v>114</v>
      </c>
      <c r="D51" s="203">
        <v>37.29</v>
      </c>
      <c r="E51" s="148">
        <v>28.28</v>
      </c>
    </row>
    <row r="52" spans="2:5">
      <c r="B52" s="181" t="s">
        <v>8</v>
      </c>
      <c r="C52" s="182" t="s">
        <v>115</v>
      </c>
      <c r="D52" s="203">
        <v>40.49</v>
      </c>
      <c r="E52" s="74">
        <v>39.64</v>
      </c>
    </row>
    <row r="53" spans="2:5" ht="14.25" customHeight="1" thickBot="1">
      <c r="B53" s="185" t="s">
        <v>9</v>
      </c>
      <c r="C53" s="186" t="s">
        <v>41</v>
      </c>
      <c r="D53" s="205">
        <v>39.06</v>
      </c>
      <c r="E53" s="309">
        <v>36.51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288392.59000000003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288392.59000000003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288392.59000000003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288392.59000000003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221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4965104.53</v>
      </c>
      <c r="E11" s="229">
        <f>SUM(E12:E14)</f>
        <v>3580946.75</v>
      </c>
    </row>
    <row r="12" spans="2:5">
      <c r="B12" s="170" t="s">
        <v>4</v>
      </c>
      <c r="C12" s="171" t="s">
        <v>5</v>
      </c>
      <c r="D12" s="245">
        <v>4965104.53</v>
      </c>
      <c r="E12" s="251">
        <v>3580946.75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4965104.53</v>
      </c>
      <c r="E21" s="147">
        <f>E11-E17</f>
        <v>3580946.75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5828461.5199999996</v>
      </c>
      <c r="E26" s="219">
        <f>D21</f>
        <v>4965104.53</v>
      </c>
    </row>
    <row r="27" spans="2:6">
      <c r="B27" s="9" t="s">
        <v>17</v>
      </c>
      <c r="C27" s="10" t="s">
        <v>111</v>
      </c>
      <c r="D27" s="198">
        <v>-381990.35</v>
      </c>
      <c r="E27" s="292">
        <v>-1060824.8600000001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381990.35</v>
      </c>
      <c r="E32" s="293">
        <f>SUM(E33:E39)</f>
        <v>1060824.8600000001</v>
      </c>
      <c r="F32" s="71"/>
    </row>
    <row r="33" spans="2:6">
      <c r="B33" s="178" t="s">
        <v>4</v>
      </c>
      <c r="C33" s="171" t="s">
        <v>25</v>
      </c>
      <c r="D33" s="199">
        <v>277935.68</v>
      </c>
      <c r="E33" s="295">
        <v>993492.03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28696.89</v>
      </c>
      <c r="E35" s="295">
        <v>26456.720000000001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46908.29</v>
      </c>
      <c r="E37" s="295">
        <v>33455.620000000003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28449.49</v>
      </c>
      <c r="E39" s="297">
        <v>7420.49</v>
      </c>
      <c r="F39" s="71"/>
    </row>
    <row r="40" spans="2:6" ht="13.5" thickBot="1">
      <c r="B40" s="96" t="s">
        <v>35</v>
      </c>
      <c r="C40" s="97" t="s">
        <v>36</v>
      </c>
      <c r="D40" s="201">
        <v>356741.98</v>
      </c>
      <c r="E40" s="306">
        <v>-323332.92</v>
      </c>
    </row>
    <row r="41" spans="2:6" ht="13.5" thickBot="1">
      <c r="B41" s="98" t="s">
        <v>37</v>
      </c>
      <c r="C41" s="99" t="s">
        <v>38</v>
      </c>
      <c r="D41" s="202">
        <v>5803213.1500000004</v>
      </c>
      <c r="E41" s="147">
        <f>E26+E27+E40</f>
        <v>3580946.75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92721.309500000003</v>
      </c>
      <c r="E47" s="148">
        <v>67442.332699999999</v>
      </c>
    </row>
    <row r="48" spans="2:6">
      <c r="B48" s="183" t="s">
        <v>6</v>
      </c>
      <c r="C48" s="184" t="s">
        <v>41</v>
      </c>
      <c r="D48" s="203">
        <v>86861.445200000002</v>
      </c>
      <c r="E48" s="148">
        <v>52162.370699999999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62.86</v>
      </c>
      <c r="E50" s="148">
        <v>73.62</v>
      </c>
    </row>
    <row r="51" spans="2:5">
      <c r="B51" s="181" t="s">
        <v>6</v>
      </c>
      <c r="C51" s="182" t="s">
        <v>114</v>
      </c>
      <c r="D51" s="203">
        <v>62.940000000000005</v>
      </c>
      <c r="E51" s="148">
        <v>56.45</v>
      </c>
    </row>
    <row r="52" spans="2:5">
      <c r="B52" s="181" t="s">
        <v>8</v>
      </c>
      <c r="C52" s="182" t="s">
        <v>115</v>
      </c>
      <c r="D52" s="203">
        <v>67.59</v>
      </c>
      <c r="E52" s="74">
        <v>75.53</v>
      </c>
    </row>
    <row r="53" spans="2:5" ht="14.25" customHeight="1" thickBot="1">
      <c r="B53" s="185" t="s">
        <v>9</v>
      </c>
      <c r="C53" s="186" t="s">
        <v>41</v>
      </c>
      <c r="D53" s="205">
        <v>66.81</v>
      </c>
      <c r="E53" s="309">
        <v>68.650000000000006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3580946.75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3580946.75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3580946.75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3580946.75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222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39683.35</v>
      </c>
      <c r="E11" s="229">
        <f>SUM(E12:E14)</f>
        <v>35659.730000000003</v>
      </c>
    </row>
    <row r="12" spans="2:7">
      <c r="B12" s="170" t="s">
        <v>4</v>
      </c>
      <c r="C12" s="171" t="s">
        <v>5</v>
      </c>
      <c r="D12" s="245">
        <v>39683.35</v>
      </c>
      <c r="E12" s="251">
        <v>35659.730000000003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39683.35</v>
      </c>
      <c r="E21" s="147">
        <f>E11-E17</f>
        <v>35659.730000000003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40117.21</v>
      </c>
      <c r="E26" s="219">
        <f>D21</f>
        <v>39683.35</v>
      </c>
    </row>
    <row r="27" spans="2:6">
      <c r="B27" s="9" t="s">
        <v>17</v>
      </c>
      <c r="C27" s="10" t="s">
        <v>111</v>
      </c>
      <c r="D27" s="198">
        <v>-482.96</v>
      </c>
      <c r="E27" s="292">
        <v>-475.7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482.96</v>
      </c>
      <c r="E32" s="293">
        <v>475.7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162.44</v>
      </c>
      <c r="E35" s="295">
        <v>193.55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320.52</v>
      </c>
      <c r="E37" s="295">
        <v>282.14999999999998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1039.47</v>
      </c>
      <c r="E40" s="306">
        <v>-3547.92</v>
      </c>
    </row>
    <row r="41" spans="2:6" ht="13.5" thickBot="1">
      <c r="B41" s="98" t="s">
        <v>37</v>
      </c>
      <c r="C41" s="99" t="s">
        <v>38</v>
      </c>
      <c r="D41" s="202">
        <v>40673.72</v>
      </c>
      <c r="E41" s="147">
        <f>E26+E27+E40</f>
        <v>35659.730000000003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578.05780000000004</v>
      </c>
      <c r="E47" s="148">
        <v>564.16480000000001</v>
      </c>
    </row>
    <row r="48" spans="2:6">
      <c r="B48" s="183" t="s">
        <v>6</v>
      </c>
      <c r="C48" s="184" t="s">
        <v>41</v>
      </c>
      <c r="D48" s="203">
        <v>571.17989999999998</v>
      </c>
      <c r="E48" s="148">
        <v>556.57449999999994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69.400000000000006</v>
      </c>
      <c r="E50" s="148">
        <v>70.34</v>
      </c>
    </row>
    <row r="51" spans="2:5">
      <c r="B51" s="181" t="s">
        <v>6</v>
      </c>
      <c r="C51" s="182" t="s">
        <v>114</v>
      </c>
      <c r="D51" s="203">
        <v>68.58</v>
      </c>
      <c r="E51" s="74">
        <v>55.91</v>
      </c>
    </row>
    <row r="52" spans="2:5">
      <c r="B52" s="181" t="s">
        <v>8</v>
      </c>
      <c r="C52" s="182" t="s">
        <v>115</v>
      </c>
      <c r="D52" s="203">
        <v>72.06</v>
      </c>
      <c r="E52" s="74">
        <v>71.17</v>
      </c>
    </row>
    <row r="53" spans="2:5" ht="13.5" customHeight="1" thickBot="1">
      <c r="B53" s="185" t="s">
        <v>9</v>
      </c>
      <c r="C53" s="186" t="s">
        <v>41</v>
      </c>
      <c r="D53" s="205">
        <v>71.209999999999994</v>
      </c>
      <c r="E53" s="309">
        <v>64.069999999999993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35659.730000000003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35659.730000000003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35659.730000000003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35659.730000000003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F81"/>
  <sheetViews>
    <sheetView topLeftCell="A19"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223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377328.9</v>
      </c>
      <c r="E11" s="229">
        <f>SUM(E12:E14)</f>
        <v>331996.74</v>
      </c>
    </row>
    <row r="12" spans="2:5">
      <c r="B12" s="170" t="s">
        <v>4</v>
      </c>
      <c r="C12" s="171" t="s">
        <v>5</v>
      </c>
      <c r="D12" s="245">
        <v>377328.9</v>
      </c>
      <c r="E12" s="251">
        <v>331996.74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377328.9</v>
      </c>
      <c r="E21" s="147">
        <f>E11-E17</f>
        <v>331996.74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415054.71</v>
      </c>
      <c r="E26" s="219">
        <f>D21</f>
        <v>377328.9</v>
      </c>
    </row>
    <row r="27" spans="2:6">
      <c r="B27" s="9" t="s">
        <v>17</v>
      </c>
      <c r="C27" s="10" t="s">
        <v>111</v>
      </c>
      <c r="D27" s="198">
        <v>-3764.67</v>
      </c>
      <c r="E27" s="292">
        <f>E28-E32</f>
        <v>-3087.6599999999744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333933.56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333933.56</v>
      </c>
      <c r="F31" s="71"/>
    </row>
    <row r="32" spans="2:6">
      <c r="B32" s="91" t="s">
        <v>23</v>
      </c>
      <c r="C32" s="11" t="s">
        <v>24</v>
      </c>
      <c r="D32" s="198">
        <v>3764.67</v>
      </c>
      <c r="E32" s="293">
        <v>337021.22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28.23</v>
      </c>
      <c r="E35" s="295">
        <v>25.89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3736.44</v>
      </c>
      <c r="E37" s="295">
        <v>3441.03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333554.3</v>
      </c>
      <c r="F39" s="71"/>
    </row>
    <row r="40" spans="2:6" ht="13.5" thickBot="1">
      <c r="B40" s="96" t="s">
        <v>35</v>
      </c>
      <c r="C40" s="97" t="s">
        <v>36</v>
      </c>
      <c r="D40" s="201">
        <v>57474.84</v>
      </c>
      <c r="E40" s="306">
        <v>-42244.5</v>
      </c>
    </row>
    <row r="41" spans="2:6" ht="13.5" thickBot="1">
      <c r="B41" s="98" t="s">
        <v>37</v>
      </c>
      <c r="C41" s="99" t="s">
        <v>38</v>
      </c>
      <c r="D41" s="202">
        <v>468764.88</v>
      </c>
      <c r="E41" s="147">
        <f>E26+E27+E40</f>
        <v>331996.74000000005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2248.8877000000002</v>
      </c>
      <c r="E47" s="73">
        <v>1646.0712000000001</v>
      </c>
    </row>
    <row r="48" spans="2:6">
      <c r="B48" s="183" t="s">
        <v>6</v>
      </c>
      <c r="C48" s="184" t="s">
        <v>41</v>
      </c>
      <c r="D48" s="203">
        <v>2230.8326999999999</v>
      </c>
      <c r="E48" s="148">
        <v>6678.6710000000003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184.56</v>
      </c>
      <c r="E50" s="74">
        <v>229.23</v>
      </c>
    </row>
    <row r="51" spans="2:5">
      <c r="B51" s="181" t="s">
        <v>6</v>
      </c>
      <c r="C51" s="182" t="s">
        <v>114</v>
      </c>
      <c r="D51" s="203">
        <v>183.66</v>
      </c>
      <c r="E51" s="74">
        <v>48.87</v>
      </c>
    </row>
    <row r="52" spans="2:5">
      <c r="B52" s="181" t="s">
        <v>8</v>
      </c>
      <c r="C52" s="182" t="s">
        <v>115</v>
      </c>
      <c r="D52" s="203">
        <v>212.92000000000002</v>
      </c>
      <c r="E52" s="74">
        <v>50.28</v>
      </c>
    </row>
    <row r="53" spans="2:5" ht="14.25" customHeight="1" thickBot="1">
      <c r="B53" s="185" t="s">
        <v>9</v>
      </c>
      <c r="C53" s="186" t="s">
        <v>41</v>
      </c>
      <c r="D53" s="205">
        <v>210.13</v>
      </c>
      <c r="E53" s="309">
        <v>49.71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331996.74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331996.74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331996.74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331996.74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224</v>
      </c>
      <c r="C6" s="351"/>
      <c r="D6" s="351"/>
      <c r="E6" s="351"/>
    </row>
    <row r="7" spans="2:7" ht="14.25">
      <c r="B7" s="152"/>
      <c r="C7" s="152"/>
      <c r="D7" s="152"/>
      <c r="E7" s="15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53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17122.150000000001</v>
      </c>
      <c r="E11" s="229">
        <f>SUM(E12:E14)</f>
        <v>17294.71</v>
      </c>
    </row>
    <row r="12" spans="2:7">
      <c r="B12" s="170" t="s">
        <v>4</v>
      </c>
      <c r="C12" s="171" t="s">
        <v>5</v>
      </c>
      <c r="D12" s="245">
        <v>17122.150000000001</v>
      </c>
      <c r="E12" s="251">
        <v>17294.71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17122.150000000001</v>
      </c>
      <c r="E21" s="147">
        <f>E11-E17</f>
        <v>17294.71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16298.56</v>
      </c>
      <c r="E26" s="219">
        <f>D21</f>
        <v>17122.150000000001</v>
      </c>
    </row>
    <row r="27" spans="2:6">
      <c r="B27" s="9" t="s">
        <v>17</v>
      </c>
      <c r="C27" s="10" t="s">
        <v>111</v>
      </c>
      <c r="D27" s="198">
        <v>-238.28</v>
      </c>
      <c r="E27" s="292">
        <v>-251.63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238.28</v>
      </c>
      <c r="E32" s="293">
        <v>251.63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99.25</v>
      </c>
      <c r="E35" s="295">
        <v>108.37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139.03</v>
      </c>
      <c r="E37" s="295">
        <v>143.26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641.19000000000005</v>
      </c>
      <c r="E40" s="306">
        <v>424.19</v>
      </c>
    </row>
    <row r="41" spans="2:6" ht="13.5" thickBot="1">
      <c r="B41" s="98" t="s">
        <v>37</v>
      </c>
      <c r="C41" s="99" t="s">
        <v>38</v>
      </c>
      <c r="D41" s="202">
        <v>16701.469999999998</v>
      </c>
      <c r="E41" s="147">
        <f>E26+E27+E40</f>
        <v>17294.71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97.977500000000006</v>
      </c>
      <c r="E47" s="73">
        <v>95.149500000000003</v>
      </c>
    </row>
    <row r="48" spans="2:6">
      <c r="B48" s="183" t="s">
        <v>6</v>
      </c>
      <c r="C48" s="184" t="s">
        <v>41</v>
      </c>
      <c r="D48" s="203">
        <v>96.562600000000003</v>
      </c>
      <c r="E48" s="148">
        <v>93.733199999999997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166.35</v>
      </c>
      <c r="E50" s="74">
        <v>179.95</v>
      </c>
    </row>
    <row r="51" spans="2:5">
      <c r="B51" s="181" t="s">
        <v>6</v>
      </c>
      <c r="C51" s="182" t="s">
        <v>114</v>
      </c>
      <c r="D51" s="203">
        <v>166.35</v>
      </c>
      <c r="E51" s="74">
        <v>164.79</v>
      </c>
    </row>
    <row r="52" spans="2:5">
      <c r="B52" s="181" t="s">
        <v>8</v>
      </c>
      <c r="C52" s="182" t="s">
        <v>115</v>
      </c>
      <c r="D52" s="203">
        <v>173.55</v>
      </c>
      <c r="E52" s="74">
        <v>184.61</v>
      </c>
    </row>
    <row r="53" spans="2:5" ht="13.5" thickBot="1">
      <c r="B53" s="185" t="s">
        <v>9</v>
      </c>
      <c r="C53" s="186" t="s">
        <v>41</v>
      </c>
      <c r="D53" s="205">
        <v>172.96</v>
      </c>
      <c r="E53" s="309">
        <v>184.51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17294.71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17294.71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17294.71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17294.71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225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17474.71</v>
      </c>
      <c r="E11" s="229">
        <f>SUM(E12:E14)</f>
        <v>21713.87</v>
      </c>
    </row>
    <row r="12" spans="2:5">
      <c r="B12" s="170" t="s">
        <v>4</v>
      </c>
      <c r="C12" s="171" t="s">
        <v>5</v>
      </c>
      <c r="D12" s="245">
        <v>17474.71</v>
      </c>
      <c r="E12" s="251">
        <v>21713.87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17474.71</v>
      </c>
      <c r="E21" s="147">
        <f>E11-E17</f>
        <v>21713.87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31861.9</v>
      </c>
      <c r="E26" s="219">
        <f>D21</f>
        <v>17474.71</v>
      </c>
    </row>
    <row r="27" spans="2:6">
      <c r="B27" s="9" t="s">
        <v>17</v>
      </c>
      <c r="C27" s="10" t="s">
        <v>111</v>
      </c>
      <c r="D27" s="198">
        <v>-333.78000000000003</v>
      </c>
      <c r="E27" s="292">
        <f>E28-E32</f>
        <v>3546.05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3753.79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3753.79</v>
      </c>
      <c r="F31" s="71"/>
    </row>
    <row r="32" spans="2:6">
      <c r="B32" s="91" t="s">
        <v>23</v>
      </c>
      <c r="C32" s="11" t="s">
        <v>24</v>
      </c>
      <c r="D32" s="198">
        <v>333.78000000000003</v>
      </c>
      <c r="E32" s="293">
        <f>SUM(E33:E39)</f>
        <v>207.74</v>
      </c>
      <c r="F32" s="71"/>
    </row>
    <row r="33" spans="2:6">
      <c r="B33" s="178" t="s">
        <v>4</v>
      </c>
      <c r="C33" s="171" t="s">
        <v>25</v>
      </c>
      <c r="D33" s="199">
        <v>1.33</v>
      </c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16.47</v>
      </c>
      <c r="E35" s="295">
        <v>18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315.98</v>
      </c>
      <c r="E37" s="295">
        <v>189.74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2542.3000000000002</v>
      </c>
      <c r="E40" s="306">
        <v>693.11</v>
      </c>
    </row>
    <row r="41" spans="2:6" ht="13.5" thickBot="1">
      <c r="B41" s="98" t="s">
        <v>37</v>
      </c>
      <c r="C41" s="99" t="s">
        <v>38</v>
      </c>
      <c r="D41" s="202">
        <v>34070.420000000006</v>
      </c>
      <c r="E41" s="147">
        <f>E26+E27+E40</f>
        <v>21713.87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235.82192000000001</v>
      </c>
      <c r="E47" s="73">
        <v>116.196</v>
      </c>
    </row>
    <row r="48" spans="2:6">
      <c r="B48" s="183" t="s">
        <v>6</v>
      </c>
      <c r="C48" s="184" t="s">
        <v>41</v>
      </c>
      <c r="D48" s="203">
        <v>233.48697916666671</v>
      </c>
      <c r="E48" s="148">
        <v>144.125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135.11000000000001</v>
      </c>
      <c r="E50" s="74">
        <v>150.38999999999999</v>
      </c>
    </row>
    <row r="51" spans="2:5">
      <c r="B51" s="181" t="s">
        <v>6</v>
      </c>
      <c r="C51" s="182" t="s">
        <v>114</v>
      </c>
      <c r="D51" s="203">
        <v>135.11000000000001</v>
      </c>
      <c r="E51" s="74">
        <v>109.11</v>
      </c>
    </row>
    <row r="52" spans="2:5">
      <c r="B52" s="181" t="s">
        <v>8</v>
      </c>
      <c r="C52" s="182" t="s">
        <v>115</v>
      </c>
      <c r="D52" s="203">
        <v>150.36000000000001</v>
      </c>
      <c r="E52" s="74">
        <v>158.51</v>
      </c>
    </row>
    <row r="53" spans="2:5" ht="14.25" customHeight="1" thickBot="1">
      <c r="B53" s="185" t="s">
        <v>9</v>
      </c>
      <c r="C53" s="186" t="s">
        <v>41</v>
      </c>
      <c r="D53" s="205">
        <v>145.91999999999999</v>
      </c>
      <c r="E53" s="309">
        <v>150.66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21713.87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21713.87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21713.87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21713.87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226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51580.850000000006</v>
      </c>
      <c r="E11" s="229">
        <f>SUM(E12:E14)</f>
        <v>0</v>
      </c>
    </row>
    <row r="12" spans="2:7">
      <c r="B12" s="170" t="s">
        <v>4</v>
      </c>
      <c r="C12" s="171" t="s">
        <v>5</v>
      </c>
      <c r="D12" s="245">
        <v>51580.850000000006</v>
      </c>
      <c r="E12" s="251">
        <v>0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51580.850000000006</v>
      </c>
      <c r="E21" s="147">
        <f>E11-E17</f>
        <v>0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225660.9</v>
      </c>
      <c r="E26" s="219">
        <f>D21</f>
        <v>51580.850000000006</v>
      </c>
    </row>
    <row r="27" spans="2:6">
      <c r="B27" s="9" t="s">
        <v>17</v>
      </c>
      <c r="C27" s="10" t="s">
        <v>111</v>
      </c>
      <c r="D27" s="198">
        <v>-12470.029999999999</v>
      </c>
      <c r="E27" s="292">
        <f>E28-E32</f>
        <v>-51797.77</v>
      </c>
      <c r="F27" s="71"/>
    </row>
    <row r="28" spans="2:6">
      <c r="B28" s="9" t="s">
        <v>18</v>
      </c>
      <c r="C28" s="10" t="s">
        <v>19</v>
      </c>
      <c r="D28" s="198">
        <v>30964.86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30964.86</v>
      </c>
      <c r="E31" s="295"/>
      <c r="F31" s="71"/>
    </row>
    <row r="32" spans="2:6">
      <c r="B32" s="91" t="s">
        <v>23</v>
      </c>
      <c r="C32" s="11" t="s">
        <v>24</v>
      </c>
      <c r="D32" s="198">
        <v>43434.89</v>
      </c>
      <c r="E32" s="293">
        <f>SUM(E33:E39)</f>
        <v>51797.77</v>
      </c>
      <c r="F32" s="71"/>
    </row>
    <row r="33" spans="2:6">
      <c r="B33" s="178" t="s">
        <v>4</v>
      </c>
      <c r="C33" s="171" t="s">
        <v>25</v>
      </c>
      <c r="D33" s="199">
        <v>10246.57</v>
      </c>
      <c r="E33" s="295">
        <f>51299.62+0.28</f>
        <v>51299.9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121.99</v>
      </c>
      <c r="E35" s="295">
        <v>3.2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2336.1799999999998</v>
      </c>
      <c r="E37" s="295">
        <v>249.11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30730.15</v>
      </c>
      <c r="E39" s="297">
        <v>245.56</v>
      </c>
      <c r="F39" s="71"/>
    </row>
    <row r="40" spans="2:6" ht="13.5" thickBot="1">
      <c r="B40" s="96" t="s">
        <v>35</v>
      </c>
      <c r="C40" s="97" t="s">
        <v>36</v>
      </c>
      <c r="D40" s="201">
        <v>2795.73</v>
      </c>
      <c r="E40" s="306">
        <v>216.92</v>
      </c>
    </row>
    <row r="41" spans="2:6" ht="13.5" thickBot="1">
      <c r="B41" s="98" t="s">
        <v>37</v>
      </c>
      <c r="C41" s="99" t="s">
        <v>38</v>
      </c>
      <c r="D41" s="202">
        <v>215986.6</v>
      </c>
      <c r="E41" s="147">
        <v>0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1509.5384309999999</v>
      </c>
      <c r="E47" s="73">
        <v>337.43850000000003</v>
      </c>
    </row>
    <row r="48" spans="2:6">
      <c r="B48" s="183" t="s">
        <v>6</v>
      </c>
      <c r="C48" s="184" t="s">
        <v>41</v>
      </c>
      <c r="D48" s="203">
        <v>1428.4828042328045</v>
      </c>
      <c r="E48" s="345" t="s">
        <v>123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149.49</v>
      </c>
      <c r="E50" s="74">
        <v>152.86000000000001</v>
      </c>
    </row>
    <row r="51" spans="2:5">
      <c r="B51" s="181" t="s">
        <v>6</v>
      </c>
      <c r="C51" s="182" t="s">
        <v>114</v>
      </c>
      <c r="D51" s="203">
        <v>149.54</v>
      </c>
      <c r="E51" s="74">
        <v>152.66</v>
      </c>
    </row>
    <row r="52" spans="2:5">
      <c r="B52" s="181" t="s">
        <v>8</v>
      </c>
      <c r="C52" s="182" t="s">
        <v>115</v>
      </c>
      <c r="D52" s="203">
        <v>151.21</v>
      </c>
      <c r="E52" s="74">
        <v>154.13999999999999</v>
      </c>
    </row>
    <row r="53" spans="2:5" ht="13.5" customHeight="1" thickBot="1">
      <c r="B53" s="185" t="s">
        <v>9</v>
      </c>
      <c r="C53" s="186" t="s">
        <v>41</v>
      </c>
      <c r="D53" s="205">
        <v>151.19999999999999</v>
      </c>
      <c r="E53" s="346" t="s">
        <v>123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0</v>
      </c>
      <c r="E58" s="31">
        <v>0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0</v>
      </c>
      <c r="E64" s="80">
        <f>E58</f>
        <v>0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D58-D73</f>
        <v>0</v>
      </c>
      <c r="E74" s="66">
        <f>E58+E72-E73</f>
        <v>0</v>
      </c>
    </row>
    <row r="75" spans="2:5">
      <c r="B75" s="101" t="s">
        <v>4</v>
      </c>
      <c r="C75" s="15" t="s">
        <v>67</v>
      </c>
      <c r="D75" s="77">
        <f>D74</f>
        <v>0</v>
      </c>
      <c r="E75" s="78">
        <f>E74</f>
        <v>0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227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15921.06</v>
      </c>
      <c r="E11" s="229">
        <f>SUM(E12:E14)</f>
        <v>29283.13</v>
      </c>
    </row>
    <row r="12" spans="2:7">
      <c r="B12" s="170" t="s">
        <v>4</v>
      </c>
      <c r="C12" s="171" t="s">
        <v>5</v>
      </c>
      <c r="D12" s="245">
        <v>15921.06</v>
      </c>
      <c r="E12" s="251">
        <v>29283.13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15921.06</v>
      </c>
      <c r="E21" s="147">
        <f>E11-E17</f>
        <v>29283.13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15201.67</v>
      </c>
      <c r="E26" s="219">
        <f>D21</f>
        <v>15921.06</v>
      </c>
    </row>
    <row r="27" spans="2:6">
      <c r="B27" s="9" t="s">
        <v>17</v>
      </c>
      <c r="C27" s="10" t="s">
        <v>111</v>
      </c>
      <c r="D27" s="198">
        <v>-103.86999999999999</v>
      </c>
      <c r="E27" s="292">
        <v>13089.490000000002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13307.2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13307.2</v>
      </c>
      <c r="F31" s="71"/>
    </row>
    <row r="32" spans="2:6">
      <c r="B32" s="91" t="s">
        <v>23</v>
      </c>
      <c r="C32" s="11" t="s">
        <v>24</v>
      </c>
      <c r="D32" s="198">
        <v>103.86999999999999</v>
      </c>
      <c r="E32" s="293">
        <v>217.71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5.27</v>
      </c>
      <c r="E35" s="295">
        <v>15.1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98.6</v>
      </c>
      <c r="E37" s="295">
        <v>202.61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772.38</v>
      </c>
      <c r="E40" s="306">
        <v>272.58</v>
      </c>
    </row>
    <row r="41" spans="2:6" ht="13.5" thickBot="1">
      <c r="B41" s="98" t="s">
        <v>37</v>
      </c>
      <c r="C41" s="99" t="s">
        <v>38</v>
      </c>
      <c r="D41" s="202">
        <v>15870.179999999998</v>
      </c>
      <c r="E41" s="147">
        <f>E26+E27+E40</f>
        <v>29283.130000000005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121.5453</v>
      </c>
      <c r="E47" s="73">
        <v>119.1785</v>
      </c>
    </row>
    <row r="48" spans="2:6">
      <c r="B48" s="183" t="s">
        <v>6</v>
      </c>
      <c r="C48" s="184" t="s">
        <v>41</v>
      </c>
      <c r="D48" s="203">
        <v>120.7409</v>
      </c>
      <c r="E48" s="148">
        <v>216.4151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125.07</v>
      </c>
      <c r="E50" s="74">
        <v>133.59</v>
      </c>
    </row>
    <row r="51" spans="2:5">
      <c r="B51" s="181" t="s">
        <v>6</v>
      </c>
      <c r="C51" s="182" t="s">
        <v>114</v>
      </c>
      <c r="D51" s="203">
        <v>125.81</v>
      </c>
      <c r="E51" s="74">
        <v>132.19</v>
      </c>
    </row>
    <row r="52" spans="2:5">
      <c r="B52" s="181" t="s">
        <v>8</v>
      </c>
      <c r="C52" s="182" t="s">
        <v>115</v>
      </c>
      <c r="D52" s="203">
        <v>132.25</v>
      </c>
      <c r="E52" s="74">
        <v>140.55000000000001</v>
      </c>
    </row>
    <row r="53" spans="2:5" ht="13.5" customHeight="1" thickBot="1">
      <c r="B53" s="185" t="s">
        <v>9</v>
      </c>
      <c r="C53" s="186" t="s">
        <v>41</v>
      </c>
      <c r="D53" s="205">
        <v>131.44</v>
      </c>
      <c r="E53" s="309">
        <v>135.31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29283.13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29283.13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29283.13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29283.13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G81"/>
  <sheetViews>
    <sheetView zoomScale="80" zoomScaleNormal="80" workbookViewId="0">
      <selection activeCell="N32" sqref="N3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228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94074.91</v>
      </c>
      <c r="E11" s="229">
        <f>SUM(E12:E14)</f>
        <v>0</v>
      </c>
    </row>
    <row r="12" spans="2:7">
      <c r="B12" s="170" t="s">
        <v>4</v>
      </c>
      <c r="C12" s="171" t="s">
        <v>5</v>
      </c>
      <c r="D12" s="245">
        <v>94074.91</v>
      </c>
      <c r="E12" s="251">
        <v>0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94074.91</v>
      </c>
      <c r="E21" s="147">
        <f>E11-E17</f>
        <v>0</v>
      </c>
      <c r="F21" s="76"/>
    </row>
    <row r="22" spans="2:6">
      <c r="B22" s="3"/>
      <c r="C22" s="7"/>
      <c r="D22" s="8"/>
      <c r="E22" s="217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89072.15</v>
      </c>
      <c r="E26" s="219">
        <f>D21</f>
        <v>94074.91</v>
      </c>
    </row>
    <row r="27" spans="2:6">
      <c r="B27" s="9" t="s">
        <v>17</v>
      </c>
      <c r="C27" s="10" t="s">
        <v>111</v>
      </c>
      <c r="D27" s="198">
        <v>-502.87</v>
      </c>
      <c r="E27" s="292">
        <v>-94839.5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502.87</v>
      </c>
      <c r="E32" s="293">
        <v>94839.5</v>
      </c>
      <c r="F32" s="71"/>
    </row>
    <row r="33" spans="2:6">
      <c r="B33" s="178" t="s">
        <v>4</v>
      </c>
      <c r="C33" s="171" t="s">
        <v>25</v>
      </c>
      <c r="D33" s="199"/>
      <c r="E33" s="295">
        <v>94503.69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502.87</v>
      </c>
      <c r="E37" s="295">
        <v>335.81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5180.6099999999997</v>
      </c>
      <c r="E40" s="306">
        <v>764.59</v>
      </c>
    </row>
    <row r="41" spans="2:6" ht="13.5" thickBot="1">
      <c r="B41" s="98" t="s">
        <v>37</v>
      </c>
      <c r="C41" s="99" t="s">
        <v>38</v>
      </c>
      <c r="D41" s="202">
        <v>93749.89</v>
      </c>
      <c r="E41" s="147" t="s">
        <v>123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172.39</v>
      </c>
      <c r="E47" s="73">
        <v>169.45</v>
      </c>
    </row>
    <row r="48" spans="2:6">
      <c r="B48" s="183" t="s">
        <v>6</v>
      </c>
      <c r="C48" s="184" t="s">
        <v>41</v>
      </c>
      <c r="D48" s="203">
        <v>171.47</v>
      </c>
      <c r="E48" s="345" t="s">
        <v>123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516.68979999999999</v>
      </c>
      <c r="E50" s="74">
        <v>555.178</v>
      </c>
    </row>
    <row r="51" spans="2:5">
      <c r="B51" s="181" t="s">
        <v>6</v>
      </c>
      <c r="C51" s="182" t="s">
        <v>114</v>
      </c>
      <c r="D51" s="203">
        <v>510.9015</v>
      </c>
      <c r="E51" s="74">
        <v>462.57650000000001</v>
      </c>
    </row>
    <row r="52" spans="2:5">
      <c r="B52" s="181" t="s">
        <v>8</v>
      </c>
      <c r="C52" s="182" t="s">
        <v>115</v>
      </c>
      <c r="D52" s="203">
        <v>559.06830000000002</v>
      </c>
      <c r="E52" s="74">
        <v>571.74019999999996</v>
      </c>
    </row>
    <row r="53" spans="2:5" ht="12.75" customHeight="1" thickBot="1">
      <c r="B53" s="185" t="s">
        <v>9</v>
      </c>
      <c r="C53" s="186" t="s">
        <v>41</v>
      </c>
      <c r="D53" s="205">
        <v>546.74220000000003</v>
      </c>
      <c r="E53" s="346" t="s">
        <v>123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0</v>
      </c>
      <c r="E58" s="31">
        <v>0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0</v>
      </c>
      <c r="E64" s="80">
        <f>E58</f>
        <v>0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0</v>
      </c>
      <c r="E74" s="66">
        <f>E58+E72-E73</f>
        <v>0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0</v>
      </c>
      <c r="E76" s="78">
        <f>E74</f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124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227"/>
      <c r="C10" s="211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90" t="s">
        <v>109</v>
      </c>
      <c r="D11" s="228">
        <v>264464.53999999998</v>
      </c>
      <c r="E11" s="229">
        <f>SUM(E12:E14)</f>
        <v>244348.37</v>
      </c>
    </row>
    <row r="12" spans="2:7">
      <c r="B12" s="170" t="s">
        <v>4</v>
      </c>
      <c r="C12" s="240" t="s">
        <v>5</v>
      </c>
      <c r="D12" s="245">
        <v>262321.58</v>
      </c>
      <c r="E12" s="251">
        <f>215370.66+27487.74</f>
        <v>242858.4</v>
      </c>
    </row>
    <row r="13" spans="2:7">
      <c r="B13" s="170" t="s">
        <v>6</v>
      </c>
      <c r="C13" s="240" t="s">
        <v>7</v>
      </c>
      <c r="D13" s="241">
        <v>932.3</v>
      </c>
      <c r="E13" s="252">
        <v>664.2</v>
      </c>
    </row>
    <row r="14" spans="2:7">
      <c r="B14" s="170" t="s">
        <v>8</v>
      </c>
      <c r="C14" s="240" t="s">
        <v>10</v>
      </c>
      <c r="D14" s="241">
        <v>1210.6600000000001</v>
      </c>
      <c r="E14" s="252">
        <f>E15</f>
        <v>825.77</v>
      </c>
    </row>
    <row r="15" spans="2:7">
      <c r="B15" s="170" t="s">
        <v>106</v>
      </c>
      <c r="C15" s="240" t="s">
        <v>11</v>
      </c>
      <c r="D15" s="241">
        <v>1210.6600000000001</v>
      </c>
      <c r="E15" s="252">
        <v>825.77</v>
      </c>
    </row>
    <row r="16" spans="2:7">
      <c r="B16" s="173" t="s">
        <v>107</v>
      </c>
      <c r="C16" s="242" t="s">
        <v>12</v>
      </c>
      <c r="D16" s="243"/>
      <c r="E16" s="253"/>
    </row>
    <row r="17" spans="2:12">
      <c r="B17" s="9" t="s">
        <v>13</v>
      </c>
      <c r="C17" s="193" t="s">
        <v>65</v>
      </c>
      <c r="D17" s="244">
        <v>768.57</v>
      </c>
      <c r="E17" s="254">
        <f>E18</f>
        <v>719.17</v>
      </c>
    </row>
    <row r="18" spans="2:12">
      <c r="B18" s="170" t="s">
        <v>4</v>
      </c>
      <c r="C18" s="240" t="s">
        <v>11</v>
      </c>
      <c r="D18" s="243">
        <v>768.57</v>
      </c>
      <c r="E18" s="253">
        <v>719.17</v>
      </c>
    </row>
    <row r="19" spans="2:12" ht="15" customHeight="1">
      <c r="B19" s="170" t="s">
        <v>6</v>
      </c>
      <c r="C19" s="240" t="s">
        <v>108</v>
      </c>
      <c r="D19" s="241"/>
      <c r="E19" s="252"/>
    </row>
    <row r="20" spans="2:12" ht="13.5" thickBot="1">
      <c r="B20" s="175" t="s">
        <v>8</v>
      </c>
      <c r="C20" s="176" t="s">
        <v>14</v>
      </c>
      <c r="D20" s="230"/>
      <c r="E20" s="231"/>
    </row>
    <row r="21" spans="2:12" ht="13.5" thickBot="1">
      <c r="B21" s="359" t="s">
        <v>110</v>
      </c>
      <c r="C21" s="360"/>
      <c r="D21" s="232">
        <v>263695.96999999997</v>
      </c>
      <c r="E21" s="147">
        <f>E11-E17</f>
        <v>243629.19999999998</v>
      </c>
      <c r="F21" s="76"/>
    </row>
    <row r="22" spans="2:12">
      <c r="B22" s="3"/>
      <c r="C22" s="7"/>
      <c r="D22" s="8"/>
      <c r="E22" s="8"/>
    </row>
    <row r="23" spans="2:12" ht="13.5">
      <c r="B23" s="353" t="s">
        <v>104</v>
      </c>
      <c r="C23" s="363"/>
      <c r="D23" s="363"/>
      <c r="E23" s="363"/>
    </row>
    <row r="24" spans="2:12" ht="16.5" customHeight="1" thickBot="1">
      <c r="B24" s="352" t="s">
        <v>105</v>
      </c>
      <c r="C24" s="364"/>
      <c r="D24" s="364"/>
      <c r="E24" s="364"/>
    </row>
    <row r="25" spans="2:12" ht="13.5" thickBot="1">
      <c r="B25" s="227"/>
      <c r="C25" s="177" t="s">
        <v>2</v>
      </c>
      <c r="D25" s="70" t="s">
        <v>265</v>
      </c>
      <c r="E25" s="261" t="s">
        <v>264</v>
      </c>
    </row>
    <row r="26" spans="2:12">
      <c r="B26" s="94" t="s">
        <v>15</v>
      </c>
      <c r="C26" s="95" t="s">
        <v>16</v>
      </c>
      <c r="D26" s="197">
        <v>242445.6</v>
      </c>
      <c r="E26" s="219">
        <f>D21</f>
        <v>263695.96999999997</v>
      </c>
    </row>
    <row r="27" spans="2:12">
      <c r="B27" s="9" t="s">
        <v>17</v>
      </c>
      <c r="C27" s="10" t="s">
        <v>111</v>
      </c>
      <c r="D27" s="198">
        <v>23692.16</v>
      </c>
      <c r="E27" s="292">
        <f>E28-E32</f>
        <v>46207.78</v>
      </c>
      <c r="F27" s="71"/>
    </row>
    <row r="28" spans="2:12">
      <c r="B28" s="9" t="s">
        <v>18</v>
      </c>
      <c r="C28" s="10" t="s">
        <v>19</v>
      </c>
      <c r="D28" s="198">
        <v>48428.46</v>
      </c>
      <c r="E28" s="293">
        <v>61456.73</v>
      </c>
      <c r="F28" s="71"/>
    </row>
    <row r="29" spans="2:12">
      <c r="B29" s="178" t="s">
        <v>4</v>
      </c>
      <c r="C29" s="171" t="s">
        <v>20</v>
      </c>
      <c r="D29" s="199">
        <v>48428.46</v>
      </c>
      <c r="E29" s="295">
        <v>41366.160000000003</v>
      </c>
      <c r="F29" s="71"/>
    </row>
    <row r="30" spans="2:12">
      <c r="B30" s="178" t="s">
        <v>6</v>
      </c>
      <c r="C30" s="171" t="s">
        <v>21</v>
      </c>
      <c r="D30" s="199"/>
      <c r="E30" s="295"/>
      <c r="F30" s="71"/>
      <c r="L30" s="263"/>
    </row>
    <row r="31" spans="2:12">
      <c r="B31" s="178" t="s">
        <v>8</v>
      </c>
      <c r="C31" s="171" t="s">
        <v>22</v>
      </c>
      <c r="D31" s="199"/>
      <c r="E31" s="295">
        <v>20090.57</v>
      </c>
      <c r="F31" s="71"/>
    </row>
    <row r="32" spans="2:12">
      <c r="B32" s="91" t="s">
        <v>23</v>
      </c>
      <c r="C32" s="11" t="s">
        <v>24</v>
      </c>
      <c r="D32" s="198">
        <v>24736.3</v>
      </c>
      <c r="E32" s="293">
        <f>SUM(E33:E39)</f>
        <v>15248.95</v>
      </c>
      <c r="F32" s="71"/>
    </row>
    <row r="33" spans="2:12">
      <c r="B33" s="178" t="s">
        <v>4</v>
      </c>
      <c r="C33" s="171" t="s">
        <v>25</v>
      </c>
      <c r="D33" s="199">
        <v>16143.99</v>
      </c>
      <c r="E33" s="295">
        <v>10957.81</v>
      </c>
      <c r="F33" s="71"/>
    </row>
    <row r="34" spans="2:12">
      <c r="B34" s="178" t="s">
        <v>6</v>
      </c>
      <c r="C34" s="171" t="s">
        <v>26</v>
      </c>
      <c r="D34" s="199"/>
      <c r="E34" s="295"/>
      <c r="F34" s="71"/>
      <c r="L34" s="169"/>
    </row>
    <row r="35" spans="2:12">
      <c r="B35" s="178" t="s">
        <v>8</v>
      </c>
      <c r="C35" s="171" t="s">
        <v>27</v>
      </c>
      <c r="D35" s="199">
        <v>3272.83</v>
      </c>
      <c r="E35" s="295">
        <v>3038.61</v>
      </c>
      <c r="F35" s="71"/>
    </row>
    <row r="36" spans="2:12">
      <c r="B36" s="178" t="s">
        <v>9</v>
      </c>
      <c r="C36" s="171" t="s">
        <v>28</v>
      </c>
      <c r="D36" s="199"/>
      <c r="E36" s="295"/>
      <c r="F36" s="71"/>
    </row>
    <row r="37" spans="2:12" ht="25.5">
      <c r="B37" s="178" t="s">
        <v>29</v>
      </c>
      <c r="C37" s="171" t="s">
        <v>30</v>
      </c>
      <c r="D37" s="199"/>
      <c r="E37" s="295"/>
      <c r="F37" s="71"/>
    </row>
    <row r="38" spans="2:12">
      <c r="B38" s="178" t="s">
        <v>31</v>
      </c>
      <c r="C38" s="171" t="s">
        <v>32</v>
      </c>
      <c r="D38" s="199"/>
      <c r="E38" s="295"/>
      <c r="F38" s="71"/>
    </row>
    <row r="39" spans="2:12">
      <c r="B39" s="179" t="s">
        <v>33</v>
      </c>
      <c r="C39" s="180" t="s">
        <v>34</v>
      </c>
      <c r="D39" s="200">
        <v>5319.48</v>
      </c>
      <c r="E39" s="297">
        <v>1252.53</v>
      </c>
      <c r="F39" s="71"/>
    </row>
    <row r="40" spans="2:12" ht="13.5" thickBot="1">
      <c r="B40" s="96" t="s">
        <v>35</v>
      </c>
      <c r="C40" s="97" t="s">
        <v>36</v>
      </c>
      <c r="D40" s="201">
        <v>-8505.66</v>
      </c>
      <c r="E40" s="306">
        <v>-66274.55</v>
      </c>
    </row>
    <row r="41" spans="2:12" ht="13.5" thickBot="1">
      <c r="B41" s="98" t="s">
        <v>37</v>
      </c>
      <c r="C41" s="99" t="s">
        <v>38</v>
      </c>
      <c r="D41" s="202">
        <v>257632.1</v>
      </c>
      <c r="E41" s="147">
        <f>E26+E27+E40</f>
        <v>243629.2</v>
      </c>
      <c r="F41" s="76"/>
    </row>
    <row r="42" spans="2:12">
      <c r="B42" s="92"/>
      <c r="C42" s="92"/>
      <c r="D42" s="93"/>
      <c r="E42" s="93"/>
      <c r="F42" s="76"/>
    </row>
    <row r="43" spans="2:12" ht="13.5">
      <c r="B43" s="354" t="s">
        <v>60</v>
      </c>
      <c r="C43" s="355"/>
      <c r="D43" s="355"/>
      <c r="E43" s="355"/>
    </row>
    <row r="44" spans="2:12" ht="15.75" customHeight="1" thickBot="1">
      <c r="B44" s="352" t="s">
        <v>121</v>
      </c>
      <c r="C44" s="356"/>
      <c r="D44" s="356"/>
      <c r="E44" s="356"/>
    </row>
    <row r="45" spans="2:12" ht="13.5" thickBot="1">
      <c r="B45" s="85"/>
      <c r="C45" s="29" t="s">
        <v>39</v>
      </c>
      <c r="D45" s="70" t="s">
        <v>265</v>
      </c>
      <c r="E45" s="261" t="s">
        <v>264</v>
      </c>
    </row>
    <row r="46" spans="2:12">
      <c r="B46" s="13" t="s">
        <v>18</v>
      </c>
      <c r="C46" s="30" t="s">
        <v>112</v>
      </c>
      <c r="D46" s="100"/>
      <c r="E46" s="28"/>
    </row>
    <row r="47" spans="2:12">
      <c r="B47" s="101" t="s">
        <v>4</v>
      </c>
      <c r="C47" s="15" t="s">
        <v>40</v>
      </c>
      <c r="D47" s="203">
        <v>30961.049299999999</v>
      </c>
      <c r="E47" s="73">
        <v>34295.900099999999</v>
      </c>
    </row>
    <row r="48" spans="2:12">
      <c r="B48" s="122" t="s">
        <v>6</v>
      </c>
      <c r="C48" s="22" t="s">
        <v>41</v>
      </c>
      <c r="D48" s="203">
        <v>33902.975352344351</v>
      </c>
      <c r="E48" s="316">
        <v>43242.351900000001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7.8306648347347796</v>
      </c>
      <c r="E50" s="250">
        <v>7.6886000000000001</v>
      </c>
    </row>
    <row r="51" spans="2:5">
      <c r="B51" s="101" t="s">
        <v>6</v>
      </c>
      <c r="C51" s="15" t="s">
        <v>114</v>
      </c>
      <c r="D51" s="203">
        <v>7.3018999999999998</v>
      </c>
      <c r="E51" s="341">
        <v>3.6722000000000001</v>
      </c>
    </row>
    <row r="52" spans="2:5">
      <c r="B52" s="101" t="s">
        <v>8</v>
      </c>
      <c r="C52" s="15" t="s">
        <v>115</v>
      </c>
      <c r="D52" s="203">
        <v>8.4795999999999996</v>
      </c>
      <c r="E52" s="74">
        <v>7.7778999999999998</v>
      </c>
    </row>
    <row r="53" spans="2:5" ht="13.5" thickBot="1">
      <c r="B53" s="102" t="s">
        <v>9</v>
      </c>
      <c r="C53" s="17" t="s">
        <v>41</v>
      </c>
      <c r="D53" s="205">
        <v>7.5991</v>
      </c>
      <c r="E53" s="309">
        <v>5.6341000000000001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242858.4</v>
      </c>
      <c r="E58" s="31">
        <f>D58/E21</f>
        <v>0.99683617563083571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215370.66</v>
      </c>
      <c r="E62" s="78">
        <f>D62/E21</f>
        <v>0.8840100447729583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v>0</v>
      </c>
      <c r="E64" s="80">
        <f>D64/E21</f>
        <v>0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27487.74</v>
      </c>
      <c r="E69" s="78">
        <f>D69/E21</f>
        <v>0.11282613085787747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664.2</v>
      </c>
      <c r="E71" s="66">
        <f>D71/E21</f>
        <v>2.7262741904500779E-3</v>
      </c>
    </row>
    <row r="72" spans="2:5">
      <c r="B72" s="115" t="s">
        <v>60</v>
      </c>
      <c r="C72" s="116" t="s">
        <v>63</v>
      </c>
      <c r="D72" s="117">
        <f>E14</f>
        <v>825.77</v>
      </c>
      <c r="E72" s="118">
        <f>D72/E21</f>
        <v>3.389454137681362E-3</v>
      </c>
    </row>
    <row r="73" spans="2:5">
      <c r="B73" s="23" t="s">
        <v>62</v>
      </c>
      <c r="C73" s="24" t="s">
        <v>65</v>
      </c>
      <c r="D73" s="25">
        <f>E17</f>
        <v>719.17</v>
      </c>
      <c r="E73" s="26">
        <f>D73/E21</f>
        <v>2.9519039589671519E-3</v>
      </c>
    </row>
    <row r="74" spans="2:5">
      <c r="B74" s="119" t="s">
        <v>64</v>
      </c>
      <c r="C74" s="120" t="s">
        <v>66</v>
      </c>
      <c r="D74" s="121">
        <f>D58+D71+D72-D73</f>
        <v>243629.19999999998</v>
      </c>
      <c r="E74" s="66">
        <f>E58+E71+E72-E73</f>
        <v>1</v>
      </c>
    </row>
    <row r="75" spans="2:5">
      <c r="B75" s="14" t="s">
        <v>4</v>
      </c>
      <c r="C75" s="15" t="s">
        <v>67</v>
      </c>
      <c r="D75" s="77">
        <f>D74-D77</f>
        <v>85563.939999999973</v>
      </c>
      <c r="E75" s="78">
        <f>D75/E21</f>
        <v>0.35120560261249462</v>
      </c>
    </row>
    <row r="76" spans="2:5">
      <c r="B76" s="14" t="s">
        <v>6</v>
      </c>
      <c r="C76" s="15" t="s">
        <v>119</v>
      </c>
      <c r="D76" s="77">
        <v>0</v>
      </c>
      <c r="E76" s="78">
        <f>D76/E21</f>
        <v>0</v>
      </c>
    </row>
    <row r="77" spans="2:5" ht="13.5" thickBot="1">
      <c r="B77" s="16" t="s">
        <v>8</v>
      </c>
      <c r="C77" s="17" t="s">
        <v>120</v>
      </c>
      <c r="D77" s="81">
        <v>158065.26</v>
      </c>
      <c r="E77" s="82">
        <f>D77/E21</f>
        <v>0.64879439738750533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229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210"/>
      <c r="C10" s="211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52054.239999999998</v>
      </c>
      <c r="E11" s="229">
        <f>SUM(E12:E14)</f>
        <v>45879.97</v>
      </c>
    </row>
    <row r="12" spans="2:7">
      <c r="B12" s="170" t="s">
        <v>4</v>
      </c>
      <c r="C12" s="171" t="s">
        <v>5</v>
      </c>
      <c r="D12" s="245">
        <v>52054.239999999998</v>
      </c>
      <c r="E12" s="251">
        <v>45879.97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52054.239999999998</v>
      </c>
      <c r="E21" s="147">
        <f>E11-E17</f>
        <v>45879.97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44595.06</v>
      </c>
      <c r="E26" s="219">
        <f>D21</f>
        <v>52054.239999999998</v>
      </c>
    </row>
    <row r="27" spans="2:6">
      <c r="B27" s="9" t="s">
        <v>17</v>
      </c>
      <c r="C27" s="10" t="s">
        <v>111</v>
      </c>
      <c r="D27" s="198">
        <v>-500.41999999999996</v>
      </c>
      <c r="E27" s="292">
        <v>-1439.1299999999999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500.41999999999996</v>
      </c>
      <c r="E32" s="293">
        <v>1439.1299999999999</v>
      </c>
      <c r="F32" s="71"/>
    </row>
    <row r="33" spans="2:6">
      <c r="B33" s="178" t="s">
        <v>4</v>
      </c>
      <c r="C33" s="171" t="s">
        <v>25</v>
      </c>
      <c r="D33" s="199"/>
      <c r="E33" s="295">
        <v>1223.5999999999999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97.08</v>
      </c>
      <c r="E35" s="295">
        <v>38.51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403.34</v>
      </c>
      <c r="E37" s="295">
        <v>177.02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6231.43</v>
      </c>
      <c r="E40" s="306">
        <v>-4735.1400000000003</v>
      </c>
    </row>
    <row r="41" spans="2:6" ht="13.5" thickBot="1">
      <c r="B41" s="98" t="s">
        <v>37</v>
      </c>
      <c r="C41" s="99" t="s">
        <v>38</v>
      </c>
      <c r="D41" s="202">
        <v>50326.07</v>
      </c>
      <c r="E41" s="147">
        <f>E26+E27+E40</f>
        <v>45879.97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826.07</v>
      </c>
      <c r="E47" s="73">
        <v>800.08</v>
      </c>
    </row>
    <row r="48" spans="2:6">
      <c r="B48" s="183" t="s">
        <v>6</v>
      </c>
      <c r="C48" s="184" t="s">
        <v>41</v>
      </c>
      <c r="D48" s="203">
        <v>818.08</v>
      </c>
      <c r="E48" s="148">
        <v>775.04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53.9846</v>
      </c>
      <c r="E50" s="74">
        <v>65.061300000000003</v>
      </c>
    </row>
    <row r="51" spans="2:5">
      <c r="B51" s="181" t="s">
        <v>6</v>
      </c>
      <c r="C51" s="182" t="s">
        <v>114</v>
      </c>
      <c r="D51" s="203">
        <v>52.552300000000002</v>
      </c>
      <c r="E51" s="74">
        <v>47.515000000000001</v>
      </c>
    </row>
    <row r="52" spans="2:5">
      <c r="B52" s="181" t="s">
        <v>8</v>
      </c>
      <c r="C52" s="182" t="s">
        <v>115</v>
      </c>
      <c r="D52" s="203">
        <v>64.505600000000001</v>
      </c>
      <c r="E52" s="74">
        <v>67.962199999999996</v>
      </c>
    </row>
    <row r="53" spans="2:5" ht="12.75" customHeight="1" thickBot="1">
      <c r="B53" s="185" t="s">
        <v>9</v>
      </c>
      <c r="C53" s="186" t="s">
        <v>41</v>
      </c>
      <c r="D53" s="205">
        <v>61.517299999999999</v>
      </c>
      <c r="E53" s="309">
        <v>59.196899999999999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45879.97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45879.97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45879.97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45879.97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230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67198.570000000007</v>
      </c>
      <c r="E11" s="229">
        <f>SUM(E12:E14)</f>
        <v>64683.59</v>
      </c>
    </row>
    <row r="12" spans="2:5">
      <c r="B12" s="170" t="s">
        <v>4</v>
      </c>
      <c r="C12" s="171" t="s">
        <v>5</v>
      </c>
      <c r="D12" s="245">
        <v>67198.570000000007</v>
      </c>
      <c r="E12" s="251">
        <v>64683.59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67198.570000000007</v>
      </c>
      <c r="E21" s="147">
        <f>E11-E17</f>
        <v>64683.59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66325.960000000006</v>
      </c>
      <c r="E26" s="219">
        <f>D21</f>
        <v>67198.570000000007</v>
      </c>
    </row>
    <row r="27" spans="2:6">
      <c r="B27" s="9" t="s">
        <v>17</v>
      </c>
      <c r="C27" s="10" t="s">
        <v>111</v>
      </c>
      <c r="D27" s="198">
        <v>-546.28</v>
      </c>
      <c r="E27" s="292">
        <v>-509.58000000000004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546.28</v>
      </c>
      <c r="E32" s="293">
        <v>509.58000000000004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20.399999999999999</v>
      </c>
      <c r="E35" s="295">
        <v>18.28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525.88</v>
      </c>
      <c r="E37" s="295">
        <v>491.3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2024.66</v>
      </c>
      <c r="E40" s="306">
        <v>-2005.4</v>
      </c>
    </row>
    <row r="41" spans="2:6" ht="13.5" thickBot="1">
      <c r="B41" s="98" t="s">
        <v>37</v>
      </c>
      <c r="C41" s="99" t="s">
        <v>38</v>
      </c>
      <c r="D41" s="202">
        <v>67804.340000000011</v>
      </c>
      <c r="E41" s="147">
        <f>E26+E27+E40</f>
        <v>64683.590000000004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583.62</v>
      </c>
      <c r="E47" s="73">
        <v>574.02</v>
      </c>
    </row>
    <row r="48" spans="2:6">
      <c r="B48" s="183" t="s">
        <v>6</v>
      </c>
      <c r="C48" s="184" t="s">
        <v>41</v>
      </c>
      <c r="D48" s="203">
        <v>578.79999999999995</v>
      </c>
      <c r="E48" s="148">
        <v>569.28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113.64579999999999</v>
      </c>
      <c r="E50" s="74">
        <v>117.06659999999999</v>
      </c>
    </row>
    <row r="51" spans="2:5">
      <c r="B51" s="181" t="s">
        <v>6</v>
      </c>
      <c r="C51" s="182" t="s">
        <v>114</v>
      </c>
      <c r="D51" s="203">
        <v>113.0044</v>
      </c>
      <c r="E51" s="74">
        <v>105.6564</v>
      </c>
    </row>
    <row r="52" spans="2:5">
      <c r="B52" s="181" t="s">
        <v>8</v>
      </c>
      <c r="C52" s="182" t="s">
        <v>115</v>
      </c>
      <c r="D52" s="203">
        <v>117.47930000000001</v>
      </c>
      <c r="E52" s="74">
        <v>117.06659999999999</v>
      </c>
    </row>
    <row r="53" spans="2:5" ht="13.5" customHeight="1" thickBot="1">
      <c r="B53" s="185" t="s">
        <v>9</v>
      </c>
      <c r="C53" s="186" t="s">
        <v>41</v>
      </c>
      <c r="D53" s="205">
        <v>117.1464</v>
      </c>
      <c r="E53" s="309">
        <v>113.62350000000001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64683.59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64683.59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64683.59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64683.59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231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980258.88</v>
      </c>
      <c r="E11" s="229">
        <f>SUM(E12:E14)</f>
        <v>669976.66</v>
      </c>
    </row>
    <row r="12" spans="2:7">
      <c r="B12" s="170" t="s">
        <v>4</v>
      </c>
      <c r="C12" s="171" t="s">
        <v>5</v>
      </c>
      <c r="D12" s="245">
        <v>980258.88</v>
      </c>
      <c r="E12" s="251">
        <v>669976.66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980258.88</v>
      </c>
      <c r="E21" s="147">
        <f>E11-E17</f>
        <v>669976.66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1112675.3500000001</v>
      </c>
      <c r="E26" s="219">
        <f>D21</f>
        <v>980258.88</v>
      </c>
    </row>
    <row r="27" spans="2:6">
      <c r="B27" s="9" t="s">
        <v>17</v>
      </c>
      <c r="C27" s="10" t="s">
        <v>111</v>
      </c>
      <c r="D27" s="198">
        <v>-203250.53999999998</v>
      </c>
      <c r="E27" s="292">
        <f>E28-E32</f>
        <v>-224126.32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f>E31</f>
        <v>384.07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384.07</v>
      </c>
      <c r="F31" s="71"/>
    </row>
    <row r="32" spans="2:6">
      <c r="B32" s="91" t="s">
        <v>23</v>
      </c>
      <c r="C32" s="11" t="s">
        <v>24</v>
      </c>
      <c r="D32" s="198">
        <v>203250.53999999998</v>
      </c>
      <c r="E32" s="293">
        <v>224510.39</v>
      </c>
      <c r="F32" s="71"/>
    </row>
    <row r="33" spans="2:6">
      <c r="B33" s="178" t="s">
        <v>4</v>
      </c>
      <c r="C33" s="171" t="s">
        <v>25</v>
      </c>
      <c r="D33" s="199">
        <v>10730.98</v>
      </c>
      <c r="E33" s="295">
        <v>216504.1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742.56</v>
      </c>
      <c r="E35" s="295">
        <v>2551.37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7665.45</v>
      </c>
      <c r="E37" s="295">
        <v>5454.92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184111.55</v>
      </c>
      <c r="E39" s="297"/>
      <c r="F39" s="71"/>
    </row>
    <row r="40" spans="2:6" ht="13.5" thickBot="1">
      <c r="B40" s="96" t="s">
        <v>35</v>
      </c>
      <c r="C40" s="97" t="s">
        <v>36</v>
      </c>
      <c r="D40" s="201">
        <v>124465.07</v>
      </c>
      <c r="E40" s="306">
        <v>-86155.9</v>
      </c>
    </row>
    <row r="41" spans="2:6" ht="13.5" thickBot="1">
      <c r="B41" s="98" t="s">
        <v>37</v>
      </c>
      <c r="C41" s="99" t="s">
        <v>38</v>
      </c>
      <c r="D41" s="202">
        <v>1033889.8800000001</v>
      </c>
      <c r="E41" s="147">
        <f>E26+E27+E40</f>
        <v>669976.66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10943.3</v>
      </c>
      <c r="E47" s="73">
        <v>7697.27</v>
      </c>
    </row>
    <row r="48" spans="2:6">
      <c r="B48" s="183" t="s">
        <v>6</v>
      </c>
      <c r="C48" s="184" t="s">
        <v>41</v>
      </c>
      <c r="D48" s="203">
        <v>9057.5300000000007</v>
      </c>
      <c r="E48" s="148">
        <v>5949.33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101.6764</v>
      </c>
      <c r="E50" s="74">
        <v>127.3515</v>
      </c>
    </row>
    <row r="51" spans="2:5">
      <c r="B51" s="181" t="s">
        <v>6</v>
      </c>
      <c r="C51" s="182" t="s">
        <v>114</v>
      </c>
      <c r="D51" s="203">
        <v>101.1045</v>
      </c>
      <c r="E51" s="74">
        <v>82.441999999999993</v>
      </c>
    </row>
    <row r="52" spans="2:5">
      <c r="B52" s="181" t="s">
        <v>8</v>
      </c>
      <c r="C52" s="182" t="s">
        <v>115</v>
      </c>
      <c r="D52" s="203">
        <v>117.5651</v>
      </c>
      <c r="E52" s="74">
        <v>132.7835</v>
      </c>
    </row>
    <row r="53" spans="2:5" ht="12.75" customHeight="1" thickBot="1">
      <c r="B53" s="185" t="s">
        <v>9</v>
      </c>
      <c r="C53" s="186" t="s">
        <v>41</v>
      </c>
      <c r="D53" s="205">
        <v>114.14700000000001</v>
      </c>
      <c r="E53" s="309">
        <v>112.6138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669976.66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669976.66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669976.66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669976.66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232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274947.51</v>
      </c>
      <c r="E11" s="229">
        <f>SUM(E12:E14)</f>
        <v>222455.26</v>
      </c>
    </row>
    <row r="12" spans="2:7">
      <c r="B12" s="170" t="s">
        <v>4</v>
      </c>
      <c r="C12" s="171" t="s">
        <v>5</v>
      </c>
      <c r="D12" s="245">
        <v>274947.51</v>
      </c>
      <c r="E12" s="251">
        <v>222455.26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274947.51</v>
      </c>
      <c r="E21" s="147">
        <f>E11-E17</f>
        <v>222455.26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728664.48</v>
      </c>
      <c r="E26" s="219">
        <f>D21</f>
        <v>274947.51</v>
      </c>
    </row>
    <row r="27" spans="2:6">
      <c r="B27" s="9" t="s">
        <v>17</v>
      </c>
      <c r="C27" s="10" t="s">
        <v>111</v>
      </c>
      <c r="D27" s="198">
        <v>-6171.95</v>
      </c>
      <c r="E27" s="292">
        <f>E28-E32</f>
        <v>-2728.7599999999998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6171.95</v>
      </c>
      <c r="E32" s="293">
        <f>SUM(E33:E39)</f>
        <v>2728.7599999999998</v>
      </c>
      <c r="F32" s="71"/>
    </row>
    <row r="33" spans="2:6">
      <c r="B33" s="178" t="s">
        <v>4</v>
      </c>
      <c r="C33" s="171" t="s">
        <v>25</v>
      </c>
      <c r="D33" s="199">
        <v>2.75</v>
      </c>
      <c r="E33" s="295">
        <f>954.15-4.6</f>
        <v>949.55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113.78</v>
      </c>
      <c r="E35" s="295">
        <v>96.59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6055.42</v>
      </c>
      <c r="E37" s="295">
        <v>1682.62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87887.65</v>
      </c>
      <c r="E40" s="306">
        <v>-49763.49</v>
      </c>
    </row>
    <row r="41" spans="2:6" ht="13.5" thickBot="1">
      <c r="B41" s="98" t="s">
        <v>37</v>
      </c>
      <c r="C41" s="99" t="s">
        <v>38</v>
      </c>
      <c r="D41" s="202">
        <v>810380.18</v>
      </c>
      <c r="E41" s="147">
        <f>E26+E27+E40</f>
        <v>222455.26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1921.119983</v>
      </c>
      <c r="E47" s="73">
        <v>648.3900000000001</v>
      </c>
    </row>
    <row r="48" spans="2:6">
      <c r="B48" s="183" t="s">
        <v>6</v>
      </c>
      <c r="C48" s="184" t="s">
        <v>41</v>
      </c>
      <c r="D48" s="203">
        <v>1906.0100053860681</v>
      </c>
      <c r="E48" s="148">
        <v>640.6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379.29149999999998</v>
      </c>
      <c r="E50" s="74">
        <v>424.04649999999998</v>
      </c>
    </row>
    <row r="51" spans="2:5">
      <c r="B51" s="181" t="s">
        <v>6</v>
      </c>
      <c r="C51" s="182" t="s">
        <v>114</v>
      </c>
      <c r="D51" s="203">
        <v>379.29149999999998</v>
      </c>
      <c r="E51" s="74">
        <v>292.90679999999998</v>
      </c>
    </row>
    <row r="52" spans="2:5">
      <c r="B52" s="181" t="s">
        <v>8</v>
      </c>
      <c r="C52" s="182" t="s">
        <v>115</v>
      </c>
      <c r="D52" s="203">
        <v>427.39070000000004</v>
      </c>
      <c r="E52" s="342">
        <v>430.68419999999998</v>
      </c>
    </row>
    <row r="53" spans="2:5" ht="12.75" customHeight="1" thickBot="1">
      <c r="B53" s="185" t="s">
        <v>9</v>
      </c>
      <c r="C53" s="186" t="s">
        <v>41</v>
      </c>
      <c r="D53" s="205">
        <v>425.17099999999999</v>
      </c>
      <c r="E53" s="309">
        <v>347.26080000000002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222455.26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222455.26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222455.26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222455.26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233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638911.03</v>
      </c>
      <c r="E11" s="229">
        <f>SUM(E12:E14)</f>
        <v>436235.16</v>
      </c>
    </row>
    <row r="12" spans="2:7">
      <c r="B12" s="170" t="s">
        <v>4</v>
      </c>
      <c r="C12" s="171" t="s">
        <v>5</v>
      </c>
      <c r="D12" s="245">
        <v>638911.03</v>
      </c>
      <c r="E12" s="251">
        <v>436235.16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638911.03</v>
      </c>
      <c r="E21" s="147">
        <f>E11-E17</f>
        <v>436235.16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741231.13</v>
      </c>
      <c r="E26" s="219">
        <f>D21</f>
        <v>638911.03</v>
      </c>
    </row>
    <row r="27" spans="2:6">
      <c r="B27" s="9" t="s">
        <v>17</v>
      </c>
      <c r="C27" s="10" t="s">
        <v>111</v>
      </c>
      <c r="D27" s="198">
        <v>-6321.18</v>
      </c>
      <c r="E27" s="292">
        <f>E28-E32</f>
        <v>-174109.77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f>E31</f>
        <v>127.35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127.35</v>
      </c>
      <c r="F31" s="71"/>
    </row>
    <row r="32" spans="2:6">
      <c r="B32" s="91" t="s">
        <v>23</v>
      </c>
      <c r="C32" s="11" t="s">
        <v>24</v>
      </c>
      <c r="D32" s="198">
        <v>6321.18</v>
      </c>
      <c r="E32" s="293">
        <v>174237.12</v>
      </c>
      <c r="F32" s="71"/>
    </row>
    <row r="33" spans="2:6">
      <c r="B33" s="178" t="s">
        <v>4</v>
      </c>
      <c r="C33" s="171" t="s">
        <v>25</v>
      </c>
      <c r="D33" s="199"/>
      <c r="E33" s="295">
        <v>170805.05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335.02</v>
      </c>
      <c r="E35" s="295">
        <v>308.83999999999997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5986.16</v>
      </c>
      <c r="E37" s="295">
        <v>3123.23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51259.8</v>
      </c>
      <c r="E40" s="306">
        <v>-28566.1</v>
      </c>
    </row>
    <row r="41" spans="2:6" ht="13.5" thickBot="1">
      <c r="B41" s="98" t="s">
        <v>37</v>
      </c>
      <c r="C41" s="99" t="s">
        <v>38</v>
      </c>
      <c r="D41" s="202">
        <v>786169.75</v>
      </c>
      <c r="E41" s="147">
        <f>E26+E27+E40</f>
        <v>436235.16000000003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1314.62</v>
      </c>
      <c r="E47" s="73">
        <v>1018.9</v>
      </c>
    </row>
    <row r="48" spans="2:6">
      <c r="B48" s="183" t="s">
        <v>6</v>
      </c>
      <c r="C48" s="184" t="s">
        <v>41</v>
      </c>
      <c r="D48" s="203">
        <v>1303.8800000000001</v>
      </c>
      <c r="E48" s="148">
        <v>737.55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563.83680000000004</v>
      </c>
      <c r="E50" s="74">
        <v>627.05960000000005</v>
      </c>
    </row>
    <row r="51" spans="2:5">
      <c r="B51" s="181" t="s">
        <v>6</v>
      </c>
      <c r="C51" s="182" t="s">
        <v>114</v>
      </c>
      <c r="D51" s="203">
        <v>565.31780000000003</v>
      </c>
      <c r="E51" s="74">
        <v>515.66719999999998</v>
      </c>
    </row>
    <row r="52" spans="2:5">
      <c r="B52" s="181" t="s">
        <v>8</v>
      </c>
      <c r="C52" s="182" t="s">
        <v>115</v>
      </c>
      <c r="D52" s="203">
        <v>605.66340000000002</v>
      </c>
      <c r="E52" s="74">
        <v>643.92870000000005</v>
      </c>
    </row>
    <row r="53" spans="2:5" ht="13.5" customHeight="1" thickBot="1">
      <c r="B53" s="185" t="s">
        <v>9</v>
      </c>
      <c r="C53" s="186" t="s">
        <v>41</v>
      </c>
      <c r="D53" s="205">
        <v>602.94640000000004</v>
      </c>
      <c r="E53" s="309">
        <v>591.46519999999998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436235.16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436235.16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436235.16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436235.16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G81"/>
  <sheetViews>
    <sheetView topLeftCell="A4" zoomScale="80" zoomScaleNormal="80" workbookViewId="0">
      <selection activeCell="G4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270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726792.91</v>
      </c>
      <c r="E11" s="229">
        <f>SUM(E12:E14)</f>
        <v>426404.58</v>
      </c>
    </row>
    <row r="12" spans="2:7">
      <c r="B12" s="170" t="s">
        <v>4</v>
      </c>
      <c r="C12" s="171" t="s">
        <v>5</v>
      </c>
      <c r="D12" s="245">
        <v>726792.91</v>
      </c>
      <c r="E12" s="251">
        <v>426404.58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726792.91</v>
      </c>
      <c r="E21" s="147">
        <f>E11-E17</f>
        <v>426404.58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692537.26</v>
      </c>
      <c r="E26" s="219">
        <f>D21</f>
        <v>726792.91</v>
      </c>
    </row>
    <row r="27" spans="2:6">
      <c r="B27" s="9" t="s">
        <v>17</v>
      </c>
      <c r="C27" s="10" t="s">
        <v>111</v>
      </c>
      <c r="D27" s="198">
        <v>-7141.85</v>
      </c>
      <c r="E27" s="292">
        <v>-295927.95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7141.85</v>
      </c>
      <c r="E32" s="293">
        <f>SUM(E33:E39)</f>
        <v>295927.95</v>
      </c>
      <c r="F32" s="71"/>
    </row>
    <row r="33" spans="2:6">
      <c r="B33" s="178" t="s">
        <v>4</v>
      </c>
      <c r="C33" s="171" t="s">
        <v>25</v>
      </c>
      <c r="D33" s="199">
        <v>1169.83</v>
      </c>
      <c r="E33" s="295">
        <v>291248.15999999997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46</v>
      </c>
      <c r="E35" s="295">
        <v>699.09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5926.02</v>
      </c>
      <c r="E37" s="295">
        <v>3980.7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64060.01</v>
      </c>
      <c r="E40" s="306">
        <v>-4460.38</v>
      </c>
    </row>
    <row r="41" spans="2:6" ht="13.5" thickBot="1">
      <c r="B41" s="98" t="s">
        <v>37</v>
      </c>
      <c r="C41" s="99" t="s">
        <v>38</v>
      </c>
      <c r="D41" s="202">
        <v>749455.42</v>
      </c>
      <c r="E41" s="147">
        <f>E26+E27+E40</f>
        <v>426404.58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1929.68</v>
      </c>
      <c r="E47" s="73">
        <v>1853.3</v>
      </c>
    </row>
    <row r="48" spans="2:6">
      <c r="B48" s="183" t="s">
        <v>6</v>
      </c>
      <c r="C48" s="184" t="s">
        <v>41</v>
      </c>
      <c r="D48" s="203">
        <v>1911.02</v>
      </c>
      <c r="E48" s="148">
        <v>1105.53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358.88709999999998</v>
      </c>
      <c r="E50" s="74">
        <v>392.16149999999999</v>
      </c>
    </row>
    <row r="51" spans="2:5">
      <c r="B51" s="181" t="s">
        <v>6</v>
      </c>
      <c r="C51" s="182" t="s">
        <v>114</v>
      </c>
      <c r="D51" s="203">
        <v>358.4853</v>
      </c>
      <c r="E51" s="74">
        <v>312.63310000000001</v>
      </c>
    </row>
    <row r="52" spans="2:5">
      <c r="B52" s="181" t="s">
        <v>8</v>
      </c>
      <c r="C52" s="182" t="s">
        <v>115</v>
      </c>
      <c r="D52" s="203">
        <v>395.08680000000004</v>
      </c>
      <c r="E52" s="74">
        <v>400.08839999999998</v>
      </c>
    </row>
    <row r="53" spans="2:5" ht="14.25" customHeight="1" thickBot="1">
      <c r="B53" s="185" t="s">
        <v>9</v>
      </c>
      <c r="C53" s="186" t="s">
        <v>41</v>
      </c>
      <c r="D53" s="205">
        <v>392.17559999999997</v>
      </c>
      <c r="E53" s="309">
        <v>385.70150000000001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426404.58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426404.58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426404.58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426404.58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G81"/>
  <sheetViews>
    <sheetView zoomScale="80" zoomScaleNormal="80" workbookViewId="0">
      <selection activeCell="E42" sqref="E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249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/>
      <c r="E11" s="229"/>
    </row>
    <row r="12" spans="2:7">
      <c r="B12" s="170" t="s">
        <v>4</v>
      </c>
      <c r="C12" s="171" t="s">
        <v>5</v>
      </c>
      <c r="D12" s="245"/>
      <c r="E12" s="251"/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/>
      <c r="E21" s="147"/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0</v>
      </c>
      <c r="E26" s="219"/>
    </row>
    <row r="27" spans="2:6">
      <c r="B27" s="9" t="s">
        <v>17</v>
      </c>
      <c r="C27" s="10" t="s">
        <v>111</v>
      </c>
      <c r="D27" s="198">
        <v>-0.33</v>
      </c>
      <c r="E27" s="292">
        <v>0.47</v>
      </c>
      <c r="F27" s="71"/>
    </row>
    <row r="28" spans="2:6">
      <c r="B28" s="9" t="s">
        <v>18</v>
      </c>
      <c r="C28" s="10" t="s">
        <v>19</v>
      </c>
      <c r="D28" s="198">
        <v>0</v>
      </c>
      <c r="E28" s="293"/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0.33</v>
      </c>
      <c r="E32" s="293">
        <v>0.47</v>
      </c>
      <c r="F32" s="71"/>
    </row>
    <row r="33" spans="2:6">
      <c r="B33" s="178" t="s">
        <v>4</v>
      </c>
      <c r="C33" s="171" t="s">
        <v>25</v>
      </c>
      <c r="D33" s="199">
        <v>0.33</v>
      </c>
      <c r="E33" s="295">
        <v>0.47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/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0.33</v>
      </c>
      <c r="E40" s="306">
        <v>0.47</v>
      </c>
    </row>
    <row r="41" spans="2:6" ht="13.5" thickBot="1">
      <c r="B41" s="98" t="s">
        <v>37</v>
      </c>
      <c r="C41" s="99" t="s">
        <v>38</v>
      </c>
      <c r="D41" s="202">
        <v>0</v>
      </c>
      <c r="E41" s="147" t="s">
        <v>123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/>
      <c r="E47" s="73"/>
    </row>
    <row r="48" spans="2:6">
      <c r="B48" s="183" t="s">
        <v>6</v>
      </c>
      <c r="C48" s="184" t="s">
        <v>41</v>
      </c>
      <c r="D48" s="203"/>
      <c r="E48" s="148"/>
    </row>
    <row r="49" spans="2:5">
      <c r="B49" s="119" t="s">
        <v>23</v>
      </c>
      <c r="C49" s="123" t="s">
        <v>113</v>
      </c>
      <c r="D49" s="204"/>
      <c r="E49" s="124"/>
    </row>
    <row r="50" spans="2:5">
      <c r="B50" s="181" t="s">
        <v>4</v>
      </c>
      <c r="C50" s="182" t="s">
        <v>40</v>
      </c>
      <c r="D50" s="203"/>
      <c r="E50" s="74"/>
    </row>
    <row r="51" spans="2:5">
      <c r="B51" s="181" t="s">
        <v>6</v>
      </c>
      <c r="C51" s="182" t="s">
        <v>114</v>
      </c>
      <c r="D51" s="203"/>
      <c r="E51" s="264"/>
    </row>
    <row r="52" spans="2:5">
      <c r="B52" s="181" t="s">
        <v>8</v>
      </c>
      <c r="C52" s="182" t="s">
        <v>115</v>
      </c>
      <c r="D52" s="203"/>
      <c r="E52" s="264"/>
    </row>
    <row r="53" spans="2:5" ht="12.75" customHeight="1" thickBot="1">
      <c r="B53" s="185" t="s">
        <v>9</v>
      </c>
      <c r="C53" s="186" t="s">
        <v>41</v>
      </c>
      <c r="D53" s="205"/>
      <c r="E53" s="309"/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0</v>
      </c>
      <c r="E58" s="31">
        <v>0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0</v>
      </c>
      <c r="E64" s="80">
        <v>0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D58-D73</f>
        <v>0</v>
      </c>
      <c r="E74" s="66">
        <f>E58+E72-E73</f>
        <v>0</v>
      </c>
    </row>
    <row r="75" spans="2:5">
      <c r="B75" s="101" t="s">
        <v>4</v>
      </c>
      <c r="C75" s="15" t="s">
        <v>67</v>
      </c>
      <c r="D75" s="77">
        <f>D74</f>
        <v>0</v>
      </c>
      <c r="E75" s="78">
        <f>E74</f>
        <v>0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F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3"/>
      <c r="C4" s="143"/>
      <c r="D4" s="143"/>
      <c r="E4" s="143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234</v>
      </c>
      <c r="C6" s="351"/>
      <c r="D6" s="351"/>
      <c r="E6" s="351"/>
    </row>
    <row r="7" spans="2:5" ht="14.25">
      <c r="B7" s="141"/>
      <c r="C7" s="141"/>
      <c r="D7" s="141"/>
      <c r="E7" s="141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42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9953.7099999999991</v>
      </c>
      <c r="E11" s="229">
        <f>SUM(E12:E14)</f>
        <v>9665.73</v>
      </c>
    </row>
    <row r="12" spans="2:5">
      <c r="B12" s="170" t="s">
        <v>4</v>
      </c>
      <c r="C12" s="171" t="s">
        <v>5</v>
      </c>
      <c r="D12" s="245">
        <v>9953.7099999999991</v>
      </c>
      <c r="E12" s="251">
        <v>9665.73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9953.7099999999991</v>
      </c>
      <c r="E21" s="147">
        <f>E11-E17</f>
        <v>9665.73</v>
      </c>
      <c r="F21" s="76"/>
    </row>
    <row r="22" spans="2:6">
      <c r="B22" s="3"/>
      <c r="C22" s="7"/>
      <c r="D22" s="8"/>
      <c r="E22" s="217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13683.78</v>
      </c>
      <c r="E26" s="219">
        <f>D21</f>
        <v>9953.7099999999991</v>
      </c>
    </row>
    <row r="27" spans="2:6">
      <c r="B27" s="9" t="s">
        <v>17</v>
      </c>
      <c r="C27" s="10" t="s">
        <v>111</v>
      </c>
      <c r="D27" s="198">
        <v>-1155.17</v>
      </c>
      <c r="E27" s="292">
        <v>-100.9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1155.17</v>
      </c>
      <c r="E32" s="293">
        <v>100.9</v>
      </c>
      <c r="F32" s="71"/>
    </row>
    <row r="33" spans="2:6">
      <c r="B33" s="178" t="s">
        <v>4</v>
      </c>
      <c r="C33" s="171" t="s">
        <v>25</v>
      </c>
      <c r="D33" s="199">
        <v>992.23</v>
      </c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29.04</v>
      </c>
      <c r="E35" s="295">
        <v>16.43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133.9</v>
      </c>
      <c r="E37" s="295">
        <v>84.47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588.59</v>
      </c>
      <c r="E40" s="306">
        <v>-187.08</v>
      </c>
    </row>
    <row r="41" spans="2:6" ht="13.5" thickBot="1">
      <c r="B41" s="98" t="s">
        <v>37</v>
      </c>
      <c r="C41" s="99" t="s">
        <v>38</v>
      </c>
      <c r="D41" s="202">
        <v>13117.2</v>
      </c>
      <c r="E41" s="147">
        <f>E26+E27+E40</f>
        <v>9665.73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102.50020000000001</v>
      </c>
      <c r="E47" s="73">
        <v>70.588700000000003</v>
      </c>
    </row>
    <row r="48" spans="2:6">
      <c r="B48" s="183" t="s">
        <v>6</v>
      </c>
      <c r="C48" s="184" t="s">
        <v>41</v>
      </c>
      <c r="D48" s="203">
        <v>94.090800000000002</v>
      </c>
      <c r="E48" s="148">
        <v>69.828999999999994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133.5</v>
      </c>
      <c r="E50" s="74">
        <v>141.01</v>
      </c>
    </row>
    <row r="51" spans="2:5">
      <c r="B51" s="181" t="s">
        <v>6</v>
      </c>
      <c r="C51" s="182" t="s">
        <v>114</v>
      </c>
      <c r="D51" s="203">
        <v>133.32</v>
      </c>
      <c r="E51" s="74">
        <v>121.39</v>
      </c>
    </row>
    <row r="52" spans="2:5">
      <c r="B52" s="181" t="s">
        <v>8</v>
      </c>
      <c r="C52" s="182" t="s">
        <v>115</v>
      </c>
      <c r="D52" s="203">
        <v>139.66</v>
      </c>
      <c r="E52" s="74">
        <v>141.76</v>
      </c>
    </row>
    <row r="53" spans="2:5" ht="12.75" customHeight="1" thickBot="1">
      <c r="B53" s="185" t="s">
        <v>9</v>
      </c>
      <c r="C53" s="186" t="s">
        <v>41</v>
      </c>
      <c r="D53" s="205">
        <v>139.41</v>
      </c>
      <c r="E53" s="309">
        <v>138.41999999999999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9665.73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9665.73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9665.73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9665.73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G81"/>
  <sheetViews>
    <sheetView zoomScale="80" zoomScaleNormal="80" workbookViewId="0">
      <selection activeCell="M37" sqref="M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3"/>
      <c r="C4" s="143"/>
      <c r="D4" s="143"/>
      <c r="E4" s="14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235</v>
      </c>
      <c r="C6" s="351"/>
      <c r="D6" s="351"/>
      <c r="E6" s="351"/>
    </row>
    <row r="7" spans="2:7" ht="14.25">
      <c r="B7" s="141"/>
      <c r="C7" s="141"/>
      <c r="D7" s="141"/>
      <c r="E7" s="141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2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36227.25</v>
      </c>
      <c r="E11" s="229">
        <f>SUM(E12:E14)</f>
        <v>68222.47</v>
      </c>
    </row>
    <row r="12" spans="2:7">
      <c r="B12" s="170" t="s">
        <v>4</v>
      </c>
      <c r="C12" s="171" t="s">
        <v>5</v>
      </c>
      <c r="D12" s="245">
        <v>36227.25</v>
      </c>
      <c r="E12" s="251">
        <v>68222.47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36227.25</v>
      </c>
      <c r="E21" s="147">
        <f>E11-E17</f>
        <v>68222.47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30091.18</v>
      </c>
      <c r="E26" s="219">
        <f>D21</f>
        <v>36227.25</v>
      </c>
    </row>
    <row r="27" spans="2:6">
      <c r="B27" s="9" t="s">
        <v>17</v>
      </c>
      <c r="C27" s="10" t="s">
        <v>111</v>
      </c>
      <c r="D27" s="198">
        <v>1175.3</v>
      </c>
      <c r="E27" s="292">
        <f>E28-E32</f>
        <v>19674.890000000003</v>
      </c>
      <c r="F27" s="71"/>
    </row>
    <row r="28" spans="2:6">
      <c r="B28" s="9" t="s">
        <v>18</v>
      </c>
      <c r="C28" s="10" t="s">
        <v>19</v>
      </c>
      <c r="D28" s="198">
        <v>1493.34</v>
      </c>
      <c r="E28" s="293">
        <v>20073.400000000001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1493.34</v>
      </c>
      <c r="E31" s="295">
        <v>20073.400000000001</v>
      </c>
      <c r="F31" s="71"/>
    </row>
    <row r="32" spans="2:6">
      <c r="B32" s="91" t="s">
        <v>23</v>
      </c>
      <c r="C32" s="11" t="s">
        <v>24</v>
      </c>
      <c r="D32" s="198">
        <v>318.04000000000002</v>
      </c>
      <c r="E32" s="293">
        <v>398.51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11.49</v>
      </c>
      <c r="E35" s="295">
        <v>19.8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306.55</v>
      </c>
      <c r="E37" s="295">
        <v>378.71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3727.47</v>
      </c>
      <c r="E40" s="306">
        <v>12320.33</v>
      </c>
    </row>
    <row r="41" spans="2:6" ht="13.5" thickBot="1">
      <c r="B41" s="98" t="s">
        <v>37</v>
      </c>
      <c r="C41" s="99" t="s">
        <v>38</v>
      </c>
      <c r="D41" s="202">
        <v>34993.949999999997</v>
      </c>
      <c r="E41" s="147">
        <f>E26+E27+E40</f>
        <v>68222.47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357.20769999999999</v>
      </c>
      <c r="E47" s="73">
        <v>349.65010000000001</v>
      </c>
    </row>
    <row r="48" spans="2:6">
      <c r="B48" s="183" t="s">
        <v>6</v>
      </c>
      <c r="C48" s="184" t="s">
        <v>41</v>
      </c>
      <c r="D48" s="203">
        <v>368.90100000000001</v>
      </c>
      <c r="E48" s="148">
        <v>496.52449999999999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84.24</v>
      </c>
      <c r="E50" s="74">
        <v>103.61</v>
      </c>
    </row>
    <row r="51" spans="2:5">
      <c r="B51" s="181" t="s">
        <v>6</v>
      </c>
      <c r="C51" s="182" t="s">
        <v>114</v>
      </c>
      <c r="D51" s="203">
        <v>83.93</v>
      </c>
      <c r="E51" s="74">
        <v>80.63</v>
      </c>
    </row>
    <row r="52" spans="2:5">
      <c r="B52" s="181" t="s">
        <v>8</v>
      </c>
      <c r="C52" s="182" t="s">
        <v>115</v>
      </c>
      <c r="D52" s="203">
        <v>99.23</v>
      </c>
      <c r="E52" s="74">
        <v>143.6</v>
      </c>
    </row>
    <row r="53" spans="2:5" ht="13.5" customHeight="1" thickBot="1">
      <c r="B53" s="185" t="s">
        <v>9</v>
      </c>
      <c r="C53" s="186" t="s">
        <v>41</v>
      </c>
      <c r="D53" s="205">
        <v>94.86</v>
      </c>
      <c r="E53" s="309">
        <v>137.4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68222.47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68222.47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68222.47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68222.47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236</v>
      </c>
      <c r="C6" s="351"/>
      <c r="D6" s="351"/>
      <c r="E6" s="351"/>
    </row>
    <row r="7" spans="2:7" ht="14.25">
      <c r="B7" s="215"/>
      <c r="C7" s="215"/>
      <c r="D7" s="215"/>
      <c r="E7" s="21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21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10163.299999999999</v>
      </c>
      <c r="E11" s="229">
        <f>SUM(E12:E14)</f>
        <v>11407.35</v>
      </c>
    </row>
    <row r="12" spans="2:7">
      <c r="B12" s="170" t="s">
        <v>4</v>
      </c>
      <c r="C12" s="171" t="s">
        <v>5</v>
      </c>
      <c r="D12" s="245">
        <v>10163.299999999999</v>
      </c>
      <c r="E12" s="251">
        <v>11407.35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10163.299999999999</v>
      </c>
      <c r="E21" s="147">
        <f>E11-E17</f>
        <v>11407.35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6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9049.58</v>
      </c>
      <c r="E26" s="219">
        <f>D21</f>
        <v>10163.299999999999</v>
      </c>
    </row>
    <row r="27" spans="2:6">
      <c r="B27" s="9" t="s">
        <v>17</v>
      </c>
      <c r="C27" s="10" t="s">
        <v>111</v>
      </c>
      <c r="D27" s="198">
        <v>-118.49</v>
      </c>
      <c r="E27" s="292">
        <v>-121.23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118.49</v>
      </c>
      <c r="E32" s="293">
        <v>121.23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22.33</v>
      </c>
      <c r="E35" s="295">
        <v>25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96.16</v>
      </c>
      <c r="E37" s="295">
        <v>96.23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2290.35</v>
      </c>
      <c r="E40" s="306">
        <v>1365.28</v>
      </c>
    </row>
    <row r="41" spans="2:6" ht="13.5" thickBot="1">
      <c r="B41" s="98" t="s">
        <v>37</v>
      </c>
      <c r="C41" s="99" t="s">
        <v>38</v>
      </c>
      <c r="D41" s="202">
        <v>11221.44</v>
      </c>
      <c r="E41" s="147">
        <f>E26+E27+E40</f>
        <v>11407.35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6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52.231200000000001</v>
      </c>
      <c r="E47" s="73">
        <v>51.1541</v>
      </c>
    </row>
    <row r="48" spans="2:6">
      <c r="B48" s="183" t="s">
        <v>6</v>
      </c>
      <c r="C48" s="184" t="s">
        <v>41</v>
      </c>
      <c r="D48" s="203">
        <v>51.687899999999999</v>
      </c>
      <c r="E48" s="148">
        <v>50.607100000000003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173.26</v>
      </c>
      <c r="E50" s="74">
        <v>198.68</v>
      </c>
    </row>
    <row r="51" spans="2:5">
      <c r="B51" s="181" t="s">
        <v>6</v>
      </c>
      <c r="C51" s="182" t="s">
        <v>114</v>
      </c>
      <c r="D51" s="203">
        <v>167.97</v>
      </c>
      <c r="E51" s="74">
        <v>152.01</v>
      </c>
    </row>
    <row r="52" spans="2:5">
      <c r="B52" s="181" t="s">
        <v>8</v>
      </c>
      <c r="C52" s="182" t="s">
        <v>115</v>
      </c>
      <c r="D52" s="203">
        <v>222.52</v>
      </c>
      <c r="E52" s="74">
        <v>229.38</v>
      </c>
    </row>
    <row r="53" spans="2:5" ht="13.5" customHeight="1" thickBot="1">
      <c r="B53" s="185" t="s">
        <v>9</v>
      </c>
      <c r="C53" s="186" t="s">
        <v>41</v>
      </c>
      <c r="D53" s="205">
        <v>217.1</v>
      </c>
      <c r="E53" s="309">
        <v>225.41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11407.35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11407.35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11407.35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11407.35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K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84"/>
      <c r="C4" s="84"/>
      <c r="D4" s="84"/>
      <c r="E4" s="84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141</v>
      </c>
      <c r="C6" s="351"/>
      <c r="D6" s="351"/>
      <c r="E6" s="351"/>
    </row>
    <row r="7" spans="2:5" ht="14.25">
      <c r="B7" s="88"/>
      <c r="C7" s="88"/>
      <c r="D7" s="88"/>
      <c r="E7" s="8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85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14896693.859999999</v>
      </c>
      <c r="E11" s="229">
        <f>SUM(E12:E14)</f>
        <v>13701507.459999999</v>
      </c>
    </row>
    <row r="12" spans="2:5">
      <c r="B12" s="105" t="s">
        <v>4</v>
      </c>
      <c r="C12" s="6" t="s">
        <v>5</v>
      </c>
      <c r="D12" s="245">
        <v>14876307.34</v>
      </c>
      <c r="E12" s="251">
        <f>12138988.23+1559146.04-12309.64</f>
        <v>13685824.629999999</v>
      </c>
    </row>
    <row r="13" spans="2:5">
      <c r="B13" s="105" t="s">
        <v>6</v>
      </c>
      <c r="C13" s="68" t="s">
        <v>7</v>
      </c>
      <c r="D13" s="241">
        <v>13.86</v>
      </c>
      <c r="E13" s="252"/>
    </row>
    <row r="14" spans="2:5">
      <c r="B14" s="105" t="s">
        <v>8</v>
      </c>
      <c r="C14" s="68" t="s">
        <v>10</v>
      </c>
      <c r="D14" s="241">
        <v>20372.66</v>
      </c>
      <c r="E14" s="252">
        <f>E15</f>
        <v>15682.83</v>
      </c>
    </row>
    <row r="15" spans="2:5">
      <c r="B15" s="105" t="s">
        <v>106</v>
      </c>
      <c r="C15" s="68" t="s">
        <v>11</v>
      </c>
      <c r="D15" s="241">
        <v>20372.66</v>
      </c>
      <c r="E15" s="252">
        <v>15682.83</v>
      </c>
    </row>
    <row r="16" spans="2:5">
      <c r="B16" s="106" t="s">
        <v>107</v>
      </c>
      <c r="C16" s="90" t="s">
        <v>12</v>
      </c>
      <c r="D16" s="243"/>
      <c r="E16" s="253"/>
    </row>
    <row r="17" spans="2:11">
      <c r="B17" s="9" t="s">
        <v>13</v>
      </c>
      <c r="C17" s="11" t="s">
        <v>65</v>
      </c>
      <c r="D17" s="244">
        <v>38089.03</v>
      </c>
      <c r="E17" s="254">
        <f>E18</f>
        <v>12021.57</v>
      </c>
    </row>
    <row r="18" spans="2:11">
      <c r="B18" s="105" t="s">
        <v>4</v>
      </c>
      <c r="C18" s="6" t="s">
        <v>11</v>
      </c>
      <c r="D18" s="243">
        <v>38089.03</v>
      </c>
      <c r="E18" s="253">
        <v>12021.57</v>
      </c>
    </row>
    <row r="19" spans="2:11" ht="15" customHeight="1">
      <c r="B19" s="105" t="s">
        <v>6</v>
      </c>
      <c r="C19" s="68" t="s">
        <v>108</v>
      </c>
      <c r="D19" s="241"/>
      <c r="E19" s="252"/>
    </row>
    <row r="20" spans="2:11" ht="13.5" thickBot="1">
      <c r="B20" s="107" t="s">
        <v>8</v>
      </c>
      <c r="C20" s="69" t="s">
        <v>14</v>
      </c>
      <c r="D20" s="230"/>
      <c r="E20" s="231"/>
    </row>
    <row r="21" spans="2:11" ht="13.5" thickBot="1">
      <c r="B21" s="359" t="s">
        <v>110</v>
      </c>
      <c r="C21" s="360"/>
      <c r="D21" s="232">
        <v>14858604.83</v>
      </c>
      <c r="E21" s="147">
        <f>E11-E17</f>
        <v>13689485.889999999</v>
      </c>
      <c r="F21" s="76"/>
    </row>
    <row r="22" spans="2:11">
      <c r="B22" s="3"/>
      <c r="C22" s="7"/>
      <c r="D22" s="8"/>
      <c r="E22" s="8"/>
    </row>
    <row r="23" spans="2:11" ht="13.5">
      <c r="B23" s="353" t="s">
        <v>104</v>
      </c>
      <c r="C23" s="361"/>
      <c r="D23" s="361"/>
      <c r="E23" s="361"/>
    </row>
    <row r="24" spans="2:11" ht="15.75" customHeight="1" thickBot="1">
      <c r="B24" s="352" t="s">
        <v>105</v>
      </c>
      <c r="C24" s="362"/>
      <c r="D24" s="362"/>
      <c r="E24" s="362"/>
    </row>
    <row r="25" spans="2:11" ht="13.5" thickBot="1">
      <c r="B25" s="85"/>
      <c r="C25" s="5" t="s">
        <v>2</v>
      </c>
      <c r="D25" s="70" t="s">
        <v>265</v>
      </c>
      <c r="E25" s="261" t="s">
        <v>264</v>
      </c>
      <c r="K25" s="169"/>
    </row>
    <row r="26" spans="2:11">
      <c r="B26" s="94" t="s">
        <v>15</v>
      </c>
      <c r="C26" s="95" t="s">
        <v>16</v>
      </c>
      <c r="D26" s="197">
        <v>18068437.370000001</v>
      </c>
      <c r="E26" s="219">
        <f>D21</f>
        <v>14858604.83</v>
      </c>
    </row>
    <row r="27" spans="2:11">
      <c r="B27" s="9" t="s">
        <v>17</v>
      </c>
      <c r="C27" s="10" t="s">
        <v>111</v>
      </c>
      <c r="D27" s="198">
        <v>-1985853.9100000006</v>
      </c>
      <c r="E27" s="292">
        <f>E28-E32</f>
        <v>-1190309.54</v>
      </c>
      <c r="F27" s="71"/>
    </row>
    <row r="28" spans="2:11">
      <c r="B28" s="9" t="s">
        <v>18</v>
      </c>
      <c r="C28" s="10" t="s">
        <v>19</v>
      </c>
      <c r="D28" s="198">
        <v>683445.23</v>
      </c>
      <c r="E28" s="293">
        <v>548622.61</v>
      </c>
      <c r="F28" s="71"/>
    </row>
    <row r="29" spans="2:11">
      <c r="B29" s="103" t="s">
        <v>4</v>
      </c>
      <c r="C29" s="6" t="s">
        <v>20</v>
      </c>
      <c r="D29" s="199">
        <v>655137.11</v>
      </c>
      <c r="E29" s="295">
        <v>533735.32999999996</v>
      </c>
      <c r="F29" s="71"/>
    </row>
    <row r="30" spans="2:11">
      <c r="B30" s="103" t="s">
        <v>6</v>
      </c>
      <c r="C30" s="6" t="s">
        <v>21</v>
      </c>
      <c r="D30" s="199"/>
      <c r="E30" s="295"/>
      <c r="F30" s="71"/>
    </row>
    <row r="31" spans="2:11">
      <c r="B31" s="103" t="s">
        <v>8</v>
      </c>
      <c r="C31" s="6" t="s">
        <v>22</v>
      </c>
      <c r="D31" s="199">
        <v>28308.12</v>
      </c>
      <c r="E31" s="295">
        <v>14887.279999999999</v>
      </c>
      <c r="F31" s="71"/>
    </row>
    <row r="32" spans="2:11">
      <c r="B32" s="91" t="s">
        <v>23</v>
      </c>
      <c r="C32" s="11" t="s">
        <v>24</v>
      </c>
      <c r="D32" s="198">
        <v>2669299.1400000006</v>
      </c>
      <c r="E32" s="293">
        <f>SUM(E33:E39)</f>
        <v>1738932.1500000001</v>
      </c>
      <c r="F32" s="71"/>
    </row>
    <row r="33" spans="2:6">
      <c r="B33" s="103" t="s">
        <v>4</v>
      </c>
      <c r="C33" s="6" t="s">
        <v>25</v>
      </c>
      <c r="D33" s="199">
        <v>2257645.5900000003</v>
      </c>
      <c r="E33" s="295">
        <f>1463617.69+2817.26</f>
        <v>1466434.95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54479.19</v>
      </c>
      <c r="E35" s="295">
        <v>56251.81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142541.47</v>
      </c>
      <c r="E37" s="295">
        <v>103369.84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214632.89</v>
      </c>
      <c r="E39" s="297">
        <v>112875.55</v>
      </c>
      <c r="F39" s="71"/>
    </row>
    <row r="40" spans="2:6" ht="13.5" thickBot="1">
      <c r="B40" s="96" t="s">
        <v>35</v>
      </c>
      <c r="C40" s="97" t="s">
        <v>36</v>
      </c>
      <c r="D40" s="201">
        <v>1108002.97</v>
      </c>
      <c r="E40" s="306">
        <v>21190.6</v>
      </c>
    </row>
    <row r="41" spans="2:6" ht="13.5" thickBot="1">
      <c r="B41" s="98" t="s">
        <v>37</v>
      </c>
      <c r="C41" s="99" t="s">
        <v>38</v>
      </c>
      <c r="D41" s="202">
        <v>17190586.43</v>
      </c>
      <c r="E41" s="147">
        <f>E26+E27+E40</f>
        <v>13689485.889999999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307">
        <v>130373.15091</v>
      </c>
      <c r="E47" s="73">
        <v>101447.1568</v>
      </c>
    </row>
    <row r="48" spans="2:6">
      <c r="B48" s="122" t="s">
        <v>6</v>
      </c>
      <c r="C48" s="22" t="s">
        <v>41</v>
      </c>
      <c r="D48" s="307">
        <v>116838.32567351359</v>
      </c>
      <c r="E48" s="316">
        <v>93098.687600000005</v>
      </c>
    </row>
    <row r="49" spans="2:5">
      <c r="B49" s="119" t="s">
        <v>23</v>
      </c>
      <c r="C49" s="123" t="s">
        <v>113</v>
      </c>
      <c r="D49" s="278"/>
      <c r="E49" s="124"/>
    </row>
    <row r="50" spans="2:5">
      <c r="B50" s="101" t="s">
        <v>4</v>
      </c>
      <c r="C50" s="15" t="s">
        <v>40</v>
      </c>
      <c r="D50" s="307">
        <v>138.590171703446</v>
      </c>
      <c r="E50" s="73">
        <v>146.46639999999999</v>
      </c>
    </row>
    <row r="51" spans="2:5">
      <c r="B51" s="101" t="s">
        <v>6</v>
      </c>
      <c r="C51" s="15" t="s">
        <v>114</v>
      </c>
      <c r="D51" s="307">
        <v>138.0283</v>
      </c>
      <c r="E51" s="73">
        <v>120.7756</v>
      </c>
    </row>
    <row r="52" spans="2:5" ht="12.75" customHeight="1">
      <c r="B52" s="101" t="s">
        <v>8</v>
      </c>
      <c r="C52" s="15" t="s">
        <v>115</v>
      </c>
      <c r="D52" s="307">
        <v>150.6722</v>
      </c>
      <c r="E52" s="73">
        <v>150.22800000000001</v>
      </c>
    </row>
    <row r="53" spans="2:5" ht="13.5" thickBot="1">
      <c r="B53" s="102" t="s">
        <v>9</v>
      </c>
      <c r="C53" s="17" t="s">
        <v>41</v>
      </c>
      <c r="D53" s="205">
        <v>147.13140000000001</v>
      </c>
      <c r="E53" s="309">
        <v>147.0427</v>
      </c>
    </row>
    <row r="54" spans="2:5">
      <c r="B54" s="108"/>
      <c r="C54" s="109"/>
      <c r="D54" s="110"/>
      <c r="E54" s="196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D64+D69</f>
        <v>13685824.629999999</v>
      </c>
      <c r="E58" s="31">
        <f>D58/E21</f>
        <v>0.99973254948875223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f>12138988.23-12309.64</f>
        <v>12126678.59</v>
      </c>
      <c r="E64" s="80">
        <f>D64/E21</f>
        <v>0.88583886111153298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1559146.04</v>
      </c>
      <c r="E69" s="78">
        <f>D69/E21</f>
        <v>0.11389368837721926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15682.83</v>
      </c>
      <c r="E72" s="118">
        <f>D72/E21</f>
        <v>1.1456113199587805E-3</v>
      </c>
    </row>
    <row r="73" spans="2:5">
      <c r="B73" s="23" t="s">
        <v>62</v>
      </c>
      <c r="C73" s="24" t="s">
        <v>65</v>
      </c>
      <c r="D73" s="25">
        <f>E17</f>
        <v>12021.57</v>
      </c>
      <c r="E73" s="26">
        <f>D73/E21</f>
        <v>8.7816080871098371E-4</v>
      </c>
    </row>
    <row r="74" spans="2:5">
      <c r="B74" s="119" t="s">
        <v>64</v>
      </c>
      <c r="C74" s="120" t="s">
        <v>66</v>
      </c>
      <c r="D74" s="121">
        <f>D58+D71+D72-D73</f>
        <v>13689485.889999999</v>
      </c>
      <c r="E74" s="66">
        <f>E58+E72-E73</f>
        <v>1</v>
      </c>
    </row>
    <row r="75" spans="2:5">
      <c r="B75" s="14" t="s">
        <v>4</v>
      </c>
      <c r="C75" s="15" t="s">
        <v>67</v>
      </c>
      <c r="D75" s="77">
        <f>D74</f>
        <v>13689485.889999999</v>
      </c>
      <c r="E75" s="78">
        <f>E74</f>
        <v>1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14"/>
      <c r="E78" s="214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G81"/>
  <sheetViews>
    <sheetView zoomScale="80" zoomScaleNormal="80" workbookViewId="0">
      <selection activeCell="I21" sqref="I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3"/>
      <c r="C4" s="143"/>
      <c r="D4" s="143"/>
      <c r="E4" s="14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237</v>
      </c>
      <c r="C6" s="351"/>
      <c r="D6" s="351"/>
      <c r="E6" s="351"/>
    </row>
    <row r="7" spans="2:7" ht="14.25">
      <c r="B7" s="141"/>
      <c r="C7" s="141"/>
      <c r="D7" s="141"/>
      <c r="E7" s="141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2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265450.02</v>
      </c>
      <c r="E11" s="229">
        <f>SUM(E12:E14)</f>
        <v>234776.22</v>
      </c>
    </row>
    <row r="12" spans="2:7">
      <c r="B12" s="170" t="s">
        <v>4</v>
      </c>
      <c r="C12" s="171" t="s">
        <v>5</v>
      </c>
      <c r="D12" s="245">
        <v>265450.02</v>
      </c>
      <c r="E12" s="251">
        <v>234776.22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265450.02</v>
      </c>
      <c r="E21" s="147">
        <f>E11-E17</f>
        <v>234776.22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257424.79</v>
      </c>
      <c r="E26" s="219">
        <f>D21</f>
        <v>265450.02</v>
      </c>
    </row>
    <row r="27" spans="2:6">
      <c r="B27" s="9" t="s">
        <v>17</v>
      </c>
      <c r="C27" s="10" t="s">
        <v>111</v>
      </c>
      <c r="D27" s="198">
        <v>-53210.23000000001</v>
      </c>
      <c r="E27" s="292">
        <f>E28-E32</f>
        <v>-112526.07999999999</v>
      </c>
      <c r="F27" s="71"/>
    </row>
    <row r="28" spans="2:6">
      <c r="B28" s="9" t="s">
        <v>18</v>
      </c>
      <c r="C28" s="10" t="s">
        <v>19</v>
      </c>
      <c r="D28" s="198">
        <v>39936.160000000003</v>
      </c>
      <c r="E28" s="293">
        <v>227568.85</v>
      </c>
      <c r="F28" s="71"/>
    </row>
    <row r="29" spans="2:6">
      <c r="B29" s="178" t="s">
        <v>4</v>
      </c>
      <c r="C29" s="171" t="s">
        <v>20</v>
      </c>
      <c r="D29" s="199"/>
      <c r="E29" s="295">
        <v>10000.01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39936.160000000003</v>
      </c>
      <c r="E31" s="295">
        <v>217568.84</v>
      </c>
      <c r="F31" s="71"/>
    </row>
    <row r="32" spans="2:6">
      <c r="B32" s="91" t="s">
        <v>23</v>
      </c>
      <c r="C32" s="11" t="s">
        <v>24</v>
      </c>
      <c r="D32" s="198">
        <v>93146.390000000014</v>
      </c>
      <c r="E32" s="293">
        <f>SUM(E33:E39)</f>
        <v>340094.93</v>
      </c>
      <c r="F32" s="71"/>
    </row>
    <row r="33" spans="2:6">
      <c r="B33" s="178" t="s">
        <v>4</v>
      </c>
      <c r="C33" s="171" t="s">
        <v>25</v>
      </c>
      <c r="D33" s="199">
        <v>53290.91</v>
      </c>
      <c r="E33" s="295">
        <v>9993.35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455.44</v>
      </c>
      <c r="E35" s="295">
        <v>187.78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2499.5300000000002</v>
      </c>
      <c r="E37" s="295">
        <v>2091.66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36900.51</v>
      </c>
      <c r="E39" s="297">
        <v>327822.14</v>
      </c>
      <c r="F39" s="71"/>
    </row>
    <row r="40" spans="2:6" ht="13.5" thickBot="1">
      <c r="B40" s="96" t="s">
        <v>35</v>
      </c>
      <c r="C40" s="97" t="s">
        <v>36</v>
      </c>
      <c r="D40" s="201">
        <v>91016.25</v>
      </c>
      <c r="E40" s="306">
        <v>81852.28</v>
      </c>
    </row>
    <row r="41" spans="2:6" ht="13.5" thickBot="1">
      <c r="B41" s="98" t="s">
        <v>37</v>
      </c>
      <c r="C41" s="99" t="s">
        <v>38</v>
      </c>
      <c r="D41" s="202">
        <v>295230.81</v>
      </c>
      <c r="E41" s="147">
        <f>E26+E27+E40</f>
        <v>234776.22000000003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2679.5544</v>
      </c>
      <c r="E47" s="73">
        <v>2063.3503000000001</v>
      </c>
    </row>
    <row r="48" spans="2:6">
      <c r="B48" s="183" t="s">
        <v>6</v>
      </c>
      <c r="C48" s="184" t="s">
        <v>41</v>
      </c>
      <c r="D48" s="203">
        <v>2176.5763000000002</v>
      </c>
      <c r="E48" s="148">
        <v>1201.0857000000001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96.07</v>
      </c>
      <c r="E50" s="74">
        <v>128.65</v>
      </c>
    </row>
    <row r="51" spans="2:5">
      <c r="B51" s="181" t="s">
        <v>6</v>
      </c>
      <c r="C51" s="182" t="s">
        <v>114</v>
      </c>
      <c r="D51" s="203">
        <v>93.320000000000007</v>
      </c>
      <c r="E51" s="74">
        <v>103.1</v>
      </c>
    </row>
    <row r="52" spans="2:5">
      <c r="B52" s="181" t="s">
        <v>8</v>
      </c>
      <c r="C52" s="182" t="s">
        <v>115</v>
      </c>
      <c r="D52" s="203">
        <v>142.63</v>
      </c>
      <c r="E52" s="74">
        <v>202.13</v>
      </c>
    </row>
    <row r="53" spans="2:5" ht="12.75" customHeight="1" thickBot="1">
      <c r="B53" s="185" t="s">
        <v>9</v>
      </c>
      <c r="C53" s="186" t="s">
        <v>41</v>
      </c>
      <c r="D53" s="205">
        <v>135.63999999999999</v>
      </c>
      <c r="E53" s="309">
        <v>195.47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234776.22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234776.22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234776.22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234776.22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238</v>
      </c>
      <c r="C6" s="351"/>
      <c r="D6" s="351"/>
      <c r="E6" s="351"/>
    </row>
    <row r="7" spans="2:7" ht="14.25">
      <c r="B7" s="161"/>
      <c r="C7" s="161"/>
      <c r="D7" s="161"/>
      <c r="E7" s="161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62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/>
      <c r="E11" s="229"/>
    </row>
    <row r="12" spans="2:7">
      <c r="B12" s="170" t="s">
        <v>4</v>
      </c>
      <c r="C12" s="171" t="s">
        <v>5</v>
      </c>
      <c r="D12" s="245"/>
      <c r="E12" s="251"/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/>
      <c r="E21" s="147"/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18073.759999999998</v>
      </c>
      <c r="E26" s="219"/>
    </row>
    <row r="27" spans="2:6">
      <c r="B27" s="9" t="s">
        <v>17</v>
      </c>
      <c r="C27" s="10" t="s">
        <v>111</v>
      </c>
      <c r="D27" s="198">
        <v>-1285.6999999999998</v>
      </c>
      <c r="E27" s="292"/>
      <c r="F27" s="71"/>
    </row>
    <row r="28" spans="2:6">
      <c r="B28" s="9" t="s">
        <v>18</v>
      </c>
      <c r="C28" s="10" t="s">
        <v>19</v>
      </c>
      <c r="D28" s="198">
        <v>0</v>
      </c>
      <c r="E28" s="293"/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1285.6999999999998</v>
      </c>
      <c r="E32" s="293"/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10.47</v>
      </c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151.15</v>
      </c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1124.08</v>
      </c>
      <c r="E39" s="297"/>
      <c r="F39" s="71"/>
    </row>
    <row r="40" spans="2:6" ht="15.75" customHeight="1" thickBot="1">
      <c r="B40" s="96" t="s">
        <v>35</v>
      </c>
      <c r="C40" s="97" t="s">
        <v>36</v>
      </c>
      <c r="D40" s="201">
        <v>735.92</v>
      </c>
      <c r="E40" s="306"/>
    </row>
    <row r="41" spans="2:6" ht="13.5" thickBot="1">
      <c r="B41" s="98" t="s">
        <v>37</v>
      </c>
      <c r="C41" s="99" t="s">
        <v>38</v>
      </c>
      <c r="D41" s="202">
        <v>17523.979999999996</v>
      </c>
      <c r="E41" s="269"/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61.5319</v>
      </c>
      <c r="E47" s="73"/>
    </row>
    <row r="48" spans="2:6">
      <c r="B48" s="183" t="s">
        <v>6</v>
      </c>
      <c r="C48" s="184" t="s">
        <v>41</v>
      </c>
      <c r="D48" s="203">
        <v>57.476399999999998</v>
      </c>
      <c r="E48" s="148"/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293.73</v>
      </c>
      <c r="E50" s="74"/>
    </row>
    <row r="51" spans="2:5">
      <c r="B51" s="181" t="s">
        <v>6</v>
      </c>
      <c r="C51" s="182" t="s">
        <v>114</v>
      </c>
      <c r="D51" s="203">
        <v>281.31</v>
      </c>
      <c r="E51" s="262"/>
    </row>
    <row r="52" spans="2:5">
      <c r="B52" s="181" t="s">
        <v>8</v>
      </c>
      <c r="C52" s="182" t="s">
        <v>115</v>
      </c>
      <c r="D52" s="203">
        <v>325.32</v>
      </c>
      <c r="E52" s="262"/>
    </row>
    <row r="53" spans="2:5" ht="13.5" thickBot="1">
      <c r="B53" s="185" t="s">
        <v>9</v>
      </c>
      <c r="C53" s="186" t="s">
        <v>41</v>
      </c>
      <c r="D53" s="205">
        <v>304.89</v>
      </c>
      <c r="E53" s="309"/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0</v>
      </c>
      <c r="E58" s="31">
        <v>0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0</v>
      </c>
      <c r="E64" s="80">
        <f>E58</f>
        <v>0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0</v>
      </c>
      <c r="E74" s="66">
        <f>E58+E72-E73</f>
        <v>0</v>
      </c>
    </row>
    <row r="75" spans="2:5">
      <c r="B75" s="101" t="s">
        <v>4</v>
      </c>
      <c r="C75" s="15" t="s">
        <v>67</v>
      </c>
      <c r="D75" s="77">
        <f>D74</f>
        <v>0</v>
      </c>
      <c r="E75" s="78">
        <f>E74</f>
        <v>0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239</v>
      </c>
      <c r="C6" s="351"/>
      <c r="D6" s="351"/>
      <c r="E6" s="351"/>
    </row>
    <row r="7" spans="2:7" ht="14.25">
      <c r="B7" s="161"/>
      <c r="C7" s="161"/>
      <c r="D7" s="161"/>
      <c r="E7" s="161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62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11883.7</v>
      </c>
      <c r="E11" s="229">
        <f>SUM(E12:E14)</f>
        <v>12075.14</v>
      </c>
    </row>
    <row r="12" spans="2:7">
      <c r="B12" s="170" t="s">
        <v>4</v>
      </c>
      <c r="C12" s="171" t="s">
        <v>5</v>
      </c>
      <c r="D12" s="245">
        <v>11883.7</v>
      </c>
      <c r="E12" s="251">
        <v>12075.14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11883.7</v>
      </c>
      <c r="E21" s="147">
        <f>E11-E17</f>
        <v>12075.14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9361.31</v>
      </c>
      <c r="E26" s="219">
        <f>D21</f>
        <v>11883.7</v>
      </c>
    </row>
    <row r="27" spans="2:6">
      <c r="B27" s="9" t="s">
        <v>17</v>
      </c>
      <c r="C27" s="10" t="s">
        <v>111</v>
      </c>
      <c r="D27" s="198">
        <v>-114.56</v>
      </c>
      <c r="E27" s="292">
        <v>-211.63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114.56</v>
      </c>
      <c r="E32" s="293">
        <f>SUM(E33:E39)</f>
        <v>211.63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22.88</v>
      </c>
      <c r="E35" s="295">
        <v>41.65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91.68</v>
      </c>
      <c r="E37" s="295">
        <v>169.98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2456.5300000000002</v>
      </c>
      <c r="E40" s="306">
        <v>403.07</v>
      </c>
    </row>
    <row r="41" spans="2:6" ht="13.5" thickBot="1">
      <c r="B41" s="98" t="s">
        <v>37</v>
      </c>
      <c r="C41" s="99" t="s">
        <v>38</v>
      </c>
      <c r="D41" s="202">
        <v>11703.28</v>
      </c>
      <c r="E41" s="147">
        <f>E26+E27+E40</f>
        <v>12075.140000000001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59.293799999999997</v>
      </c>
      <c r="E47" s="73">
        <v>58.167900000000003</v>
      </c>
    </row>
    <row r="48" spans="2:6">
      <c r="B48" s="183" t="s">
        <v>6</v>
      </c>
      <c r="C48" s="184" t="s">
        <v>41</v>
      </c>
      <c r="D48" s="203">
        <v>58.671900000000001</v>
      </c>
      <c r="E48" s="148">
        <v>57.146900000000002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157.88</v>
      </c>
      <c r="E50" s="74">
        <v>204.3</v>
      </c>
    </row>
    <row r="51" spans="2:5">
      <c r="B51" s="181" t="s">
        <v>6</v>
      </c>
      <c r="C51" s="182" t="s">
        <v>114</v>
      </c>
      <c r="D51" s="203">
        <v>155.33000000000001</v>
      </c>
      <c r="E51" s="74">
        <v>145.32</v>
      </c>
    </row>
    <row r="52" spans="2:5">
      <c r="B52" s="181" t="s">
        <v>8</v>
      </c>
      <c r="C52" s="182" t="s">
        <v>115</v>
      </c>
      <c r="D52" s="203">
        <v>203.03</v>
      </c>
      <c r="E52" s="74">
        <v>216.45</v>
      </c>
    </row>
    <row r="53" spans="2:5" ht="13.5" thickBot="1">
      <c r="B53" s="185" t="s">
        <v>9</v>
      </c>
      <c r="C53" s="186" t="s">
        <v>41</v>
      </c>
      <c r="D53" s="205">
        <v>199.47</v>
      </c>
      <c r="E53" s="309">
        <v>211.3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12075.14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12075.14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12075.14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12075.14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3"/>
      <c r="C4" s="143"/>
      <c r="D4" s="143"/>
      <c r="E4" s="143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240</v>
      </c>
      <c r="C6" s="351"/>
      <c r="D6" s="351"/>
      <c r="E6" s="351"/>
    </row>
    <row r="7" spans="2:5" ht="14.25">
      <c r="B7" s="141"/>
      <c r="C7" s="141"/>
      <c r="D7" s="141"/>
      <c r="E7" s="141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42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4938164.21</v>
      </c>
      <c r="E11" s="229">
        <f>SUM(E12:E14)</f>
        <v>4367884.42</v>
      </c>
    </row>
    <row r="12" spans="2:5">
      <c r="B12" s="170" t="s">
        <v>4</v>
      </c>
      <c r="C12" s="171" t="s">
        <v>5</v>
      </c>
      <c r="D12" s="245">
        <v>4938164.21</v>
      </c>
      <c r="E12" s="251">
        <v>4367884.42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4938164.21</v>
      </c>
      <c r="E21" s="147">
        <f>E11-E17</f>
        <v>4367884.42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5624189.2999999998</v>
      </c>
      <c r="E26" s="219">
        <f>D21</f>
        <v>4938164.21</v>
      </c>
    </row>
    <row r="27" spans="2:6">
      <c r="B27" s="9" t="s">
        <v>17</v>
      </c>
      <c r="C27" s="10" t="s">
        <v>111</v>
      </c>
      <c r="D27" s="198">
        <v>-243299.25</v>
      </c>
      <c r="E27" s="292">
        <v>-311375.19999999995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243299.25</v>
      </c>
      <c r="E32" s="293">
        <v>311375.19999999995</v>
      </c>
      <c r="F32" s="71"/>
    </row>
    <row r="33" spans="2:6">
      <c r="B33" s="178" t="s">
        <v>4</v>
      </c>
      <c r="C33" s="171" t="s">
        <v>25</v>
      </c>
      <c r="D33" s="199">
        <v>195428.82</v>
      </c>
      <c r="E33" s="295">
        <v>270001.28999999998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2826.27</v>
      </c>
      <c r="E35" s="295">
        <v>3768.73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45044.160000000003</v>
      </c>
      <c r="E37" s="295">
        <v>37605.18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119923.44</v>
      </c>
      <c r="E40" s="306">
        <v>-258904.59</v>
      </c>
    </row>
    <row r="41" spans="2:6" ht="13.5" thickBot="1">
      <c r="B41" s="98" t="s">
        <v>37</v>
      </c>
      <c r="C41" s="99" t="s">
        <v>38</v>
      </c>
      <c r="D41" s="202">
        <v>5500813.4900000002</v>
      </c>
      <c r="E41" s="147">
        <f>E26+E27+E40</f>
        <v>4367884.42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394679.951</v>
      </c>
      <c r="E47" s="73">
        <v>348986.87</v>
      </c>
    </row>
    <row r="48" spans="2:6">
      <c r="B48" s="183" t="s">
        <v>6</v>
      </c>
      <c r="C48" s="184" t="s">
        <v>41</v>
      </c>
      <c r="D48" s="203">
        <v>378062.783</v>
      </c>
      <c r="E48" s="148">
        <v>325961.52399999998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14.25</v>
      </c>
      <c r="E50" s="74">
        <v>14.15</v>
      </c>
    </row>
    <row r="51" spans="2:5">
      <c r="B51" s="181" t="s">
        <v>6</v>
      </c>
      <c r="C51" s="182" t="s">
        <v>114</v>
      </c>
      <c r="D51" s="203">
        <v>14.19</v>
      </c>
      <c r="E51" s="74">
        <v>13.2</v>
      </c>
    </row>
    <row r="52" spans="2:5">
      <c r="B52" s="181" t="s">
        <v>8</v>
      </c>
      <c r="C52" s="182" t="s">
        <v>115</v>
      </c>
      <c r="D52" s="203">
        <v>14.74</v>
      </c>
      <c r="E52" s="74">
        <v>14.15</v>
      </c>
    </row>
    <row r="53" spans="2:5" ht="14.25" customHeight="1" thickBot="1">
      <c r="B53" s="185" t="s">
        <v>9</v>
      </c>
      <c r="C53" s="186" t="s">
        <v>41</v>
      </c>
      <c r="D53" s="205">
        <v>14.55</v>
      </c>
      <c r="E53" s="309">
        <v>13.4</v>
      </c>
    </row>
    <row r="54" spans="2:5">
      <c r="B54" s="187"/>
      <c r="C54" s="188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4367884.42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4367884.42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4367884.42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4367884.42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3"/>
      <c r="C4" s="143"/>
      <c r="D4" s="143"/>
      <c r="E4" s="14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241</v>
      </c>
      <c r="C6" s="351"/>
      <c r="D6" s="351"/>
      <c r="E6" s="351"/>
    </row>
    <row r="7" spans="2:7" ht="14.25">
      <c r="B7" s="141"/>
      <c r="C7" s="141"/>
      <c r="D7" s="141"/>
      <c r="E7" s="141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2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7703014.2799999993</v>
      </c>
      <c r="E11" s="229">
        <f>SUM(E12:E14)</f>
        <v>6503065.8200000003</v>
      </c>
    </row>
    <row r="12" spans="2:7">
      <c r="B12" s="170" t="s">
        <v>4</v>
      </c>
      <c r="C12" s="171" t="s">
        <v>5</v>
      </c>
      <c r="D12" s="245">
        <v>7703014.2799999993</v>
      </c>
      <c r="E12" s="251">
        <v>6503065.8200000003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7703014.2799999993</v>
      </c>
      <c r="E21" s="147">
        <f>E11-E17</f>
        <v>6503065.8200000003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8455491.9800000004</v>
      </c>
      <c r="E26" s="219">
        <f>D21</f>
        <v>7703014.2799999993</v>
      </c>
    </row>
    <row r="27" spans="2:6">
      <c r="B27" s="9" t="s">
        <v>17</v>
      </c>
      <c r="C27" s="10" t="s">
        <v>111</v>
      </c>
      <c r="D27" s="198">
        <v>-234135.12</v>
      </c>
      <c r="E27" s="292">
        <f>E28-E32</f>
        <v>-684204.85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234135.12</v>
      </c>
      <c r="E32" s="293">
        <f>SUM(E33:E39)</f>
        <v>684204.85</v>
      </c>
      <c r="F32" s="71"/>
    </row>
    <row r="33" spans="2:6">
      <c r="B33" s="178" t="s">
        <v>4</v>
      </c>
      <c r="C33" s="171" t="s">
        <v>25</v>
      </c>
      <c r="D33" s="199">
        <v>163432.94</v>
      </c>
      <c r="E33" s="295">
        <f>82393.18-3.16</f>
        <v>82390.01999999999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5356.29</v>
      </c>
      <c r="E35" s="295">
        <v>12576.68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65345.89</v>
      </c>
      <c r="E37" s="295">
        <v>55773.49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533464.66</v>
      </c>
      <c r="F39" s="71"/>
    </row>
    <row r="40" spans="2:6" ht="13.5" thickBot="1">
      <c r="B40" s="96" t="s">
        <v>35</v>
      </c>
      <c r="C40" s="97" t="s">
        <v>36</v>
      </c>
      <c r="D40" s="201">
        <v>200006.2</v>
      </c>
      <c r="E40" s="306">
        <v>-515743.61</v>
      </c>
    </row>
    <row r="41" spans="2:6" ht="13.5" thickBot="1">
      <c r="B41" s="98" t="s">
        <v>37</v>
      </c>
      <c r="C41" s="99" t="s">
        <v>38</v>
      </c>
      <c r="D41" s="202">
        <v>8421363.0600000005</v>
      </c>
      <c r="E41" s="147">
        <f>E26+E27+E40</f>
        <v>6503065.8199999994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42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95305.365000000005</v>
      </c>
      <c r="E47" s="73">
        <v>87923.916000000012</v>
      </c>
    </row>
    <row r="48" spans="2:6">
      <c r="B48" s="122" t="s">
        <v>6</v>
      </c>
      <c r="C48" s="22" t="s">
        <v>41</v>
      </c>
      <c r="D48" s="203">
        <v>92725.865007707573</v>
      </c>
      <c r="E48" s="148">
        <v>79978.672000000006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88.72</v>
      </c>
      <c r="E50" s="74">
        <v>87.61</v>
      </c>
    </row>
    <row r="51" spans="2:5">
      <c r="B51" s="101" t="s">
        <v>6</v>
      </c>
      <c r="C51" s="15" t="s">
        <v>114</v>
      </c>
      <c r="D51" s="203">
        <v>88.44</v>
      </c>
      <c r="E51" s="74">
        <v>79.59</v>
      </c>
    </row>
    <row r="52" spans="2:5">
      <c r="B52" s="101" t="s">
        <v>8</v>
      </c>
      <c r="C52" s="15" t="s">
        <v>115</v>
      </c>
      <c r="D52" s="203">
        <v>92</v>
      </c>
      <c r="E52" s="74">
        <v>87.61</v>
      </c>
    </row>
    <row r="53" spans="2:5" ht="14.25" customHeight="1" thickBot="1">
      <c r="B53" s="102" t="s">
        <v>9</v>
      </c>
      <c r="C53" s="17" t="s">
        <v>41</v>
      </c>
      <c r="D53" s="205">
        <v>90.82</v>
      </c>
      <c r="E53" s="309">
        <v>81.31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6503065.8200000003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6503065.8200000003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6503065.8200000003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6503065.8200000003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3"/>
      <c r="C4" s="143"/>
      <c r="D4" s="143"/>
      <c r="E4" s="14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242</v>
      </c>
      <c r="C6" s="351"/>
      <c r="D6" s="351"/>
      <c r="E6" s="351"/>
    </row>
    <row r="7" spans="2:7" ht="14.25">
      <c r="B7" s="141"/>
      <c r="C7" s="141"/>
      <c r="D7" s="141"/>
      <c r="E7" s="141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2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32036.97</v>
      </c>
      <c r="E11" s="229">
        <f>SUM(E12:E14)</f>
        <v>23099.57</v>
      </c>
    </row>
    <row r="12" spans="2:7">
      <c r="B12" s="170" t="s">
        <v>4</v>
      </c>
      <c r="C12" s="171" t="s">
        <v>5</v>
      </c>
      <c r="D12" s="245">
        <v>32036.97</v>
      </c>
      <c r="E12" s="251">
        <v>23099.57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32036.97</v>
      </c>
      <c r="E21" s="147">
        <f>E11-E17</f>
        <v>23099.57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27104.97</v>
      </c>
      <c r="E26" s="219">
        <f>D21</f>
        <v>32036.97</v>
      </c>
    </row>
    <row r="27" spans="2:6">
      <c r="B27" s="9" t="s">
        <v>17</v>
      </c>
      <c r="C27" s="10" t="s">
        <v>111</v>
      </c>
      <c r="D27" s="198">
        <v>0</v>
      </c>
      <c r="E27" s="292">
        <v>1418.01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2461.52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2461.52</v>
      </c>
      <c r="F31" s="71"/>
    </row>
    <row r="32" spans="2:6">
      <c r="B32" s="91" t="s">
        <v>23</v>
      </c>
      <c r="C32" s="11" t="s">
        <v>24</v>
      </c>
      <c r="D32" s="198">
        <v>0</v>
      </c>
      <c r="E32" s="293">
        <v>1043.51</v>
      </c>
      <c r="F32" s="71"/>
    </row>
    <row r="33" spans="2:6">
      <c r="B33" s="178" t="s">
        <v>4</v>
      </c>
      <c r="C33" s="171" t="s">
        <v>25</v>
      </c>
      <c r="D33" s="199"/>
      <c r="E33" s="295">
        <v>967.39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>
        <v>6.37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/>
      <c r="E37" s="295">
        <v>69.75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3783.89</v>
      </c>
      <c r="E40" s="306">
        <v>-10355.41</v>
      </c>
    </row>
    <row r="41" spans="2:6" ht="13.5" thickBot="1">
      <c r="B41" s="98" t="s">
        <v>37</v>
      </c>
      <c r="C41" s="99" t="s">
        <v>38</v>
      </c>
      <c r="D41" s="202">
        <v>30888.86</v>
      </c>
      <c r="E41" s="147">
        <f>E26+E27+E40</f>
        <v>23099.570000000003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3861.107</v>
      </c>
      <c r="E47" s="73">
        <v>3800.3519999999999</v>
      </c>
    </row>
    <row r="48" spans="2:6">
      <c r="B48" s="183" t="s">
        <v>6</v>
      </c>
      <c r="C48" s="184" t="s">
        <v>41</v>
      </c>
      <c r="D48" s="203">
        <v>3861.107</v>
      </c>
      <c r="E48" s="148">
        <v>4117.5709999999999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7.02</v>
      </c>
      <c r="E50" s="74">
        <v>8.43</v>
      </c>
    </row>
    <row r="51" spans="2:5">
      <c r="B51" s="181" t="s">
        <v>6</v>
      </c>
      <c r="C51" s="182" t="s">
        <v>114</v>
      </c>
      <c r="D51" s="203">
        <v>7.02</v>
      </c>
      <c r="E51" s="74">
        <v>4.03</v>
      </c>
    </row>
    <row r="52" spans="2:5">
      <c r="B52" s="181" t="s">
        <v>8</v>
      </c>
      <c r="C52" s="182" t="s">
        <v>115</v>
      </c>
      <c r="D52" s="203">
        <v>8.1300000000000008</v>
      </c>
      <c r="E52" s="74">
        <v>8.67</v>
      </c>
    </row>
    <row r="53" spans="2:5" ht="14.25" customHeight="1" thickBot="1">
      <c r="B53" s="185" t="s">
        <v>9</v>
      </c>
      <c r="C53" s="186" t="s">
        <v>41</v>
      </c>
      <c r="D53" s="205">
        <v>8</v>
      </c>
      <c r="E53" s="309">
        <v>5.61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23099.57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23099.57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23099.57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23099.57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F81"/>
  <sheetViews>
    <sheetView zoomScale="80" zoomScaleNormal="80" workbookViewId="0">
      <selection activeCell="L27" sqref="L2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3"/>
      <c r="C4" s="143"/>
      <c r="D4" s="143"/>
      <c r="E4" s="143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262</v>
      </c>
      <c r="C6" s="351"/>
      <c r="D6" s="351"/>
      <c r="E6" s="351"/>
    </row>
    <row r="7" spans="2:5" ht="14.25">
      <c r="B7" s="141"/>
      <c r="C7" s="141"/>
      <c r="D7" s="141"/>
      <c r="E7" s="141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42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144046.09</v>
      </c>
      <c r="E11" s="229">
        <f>SUM(E12:E14)</f>
        <v>154650.44</v>
      </c>
    </row>
    <row r="12" spans="2:5">
      <c r="B12" s="170" t="s">
        <v>4</v>
      </c>
      <c r="C12" s="171" t="s">
        <v>5</v>
      </c>
      <c r="D12" s="245">
        <v>144046.09</v>
      </c>
      <c r="E12" s="251">
        <v>154650.44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144046.09</v>
      </c>
      <c r="E21" s="147">
        <f>E11-E17</f>
        <v>154650.44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144862.87</v>
      </c>
      <c r="E26" s="219">
        <f>D21</f>
        <v>144046.09</v>
      </c>
    </row>
    <row r="27" spans="2:6">
      <c r="B27" s="9" t="s">
        <v>17</v>
      </c>
      <c r="C27" s="10" t="s">
        <v>111</v>
      </c>
      <c r="D27" s="198">
        <v>-6270.47</v>
      </c>
      <c r="E27" s="292">
        <v>-2243.44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6270.47</v>
      </c>
      <c r="E32" s="293">
        <f>SUM(E33:E39)</f>
        <v>2243.44</v>
      </c>
      <c r="F32" s="71"/>
    </row>
    <row r="33" spans="2:6">
      <c r="B33" s="178" t="s">
        <v>4</v>
      </c>
      <c r="C33" s="171" t="s">
        <v>25</v>
      </c>
      <c r="D33" s="199">
        <v>4902.2</v>
      </c>
      <c r="E33" s="295">
        <v>952.81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285.97000000000003</v>
      </c>
      <c r="E35" s="295">
        <v>279.67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1082.3</v>
      </c>
      <c r="E37" s="295">
        <v>1010.96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17666.009999999998</v>
      </c>
      <c r="E40" s="306">
        <v>12847.79</v>
      </c>
    </row>
    <row r="41" spans="2:6" ht="13.5" thickBot="1">
      <c r="B41" s="98" t="s">
        <v>37</v>
      </c>
      <c r="C41" s="99" t="s">
        <v>38</v>
      </c>
      <c r="D41" s="202">
        <v>156258.41</v>
      </c>
      <c r="E41" s="147">
        <f>E26+E27+E40</f>
        <v>154650.44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1234.3462</v>
      </c>
      <c r="E47" s="73">
        <v>1050.971</v>
      </c>
    </row>
    <row r="48" spans="2:6">
      <c r="B48" s="183" t="s">
        <v>6</v>
      </c>
      <c r="C48" s="184" t="s">
        <v>41</v>
      </c>
      <c r="D48" s="203">
        <v>1185.6621</v>
      </c>
      <c r="E48" s="148">
        <v>1033.7596000000001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117.36</v>
      </c>
      <c r="E50" s="74">
        <v>137.06</v>
      </c>
    </row>
    <row r="51" spans="2:5">
      <c r="B51" s="181" t="s">
        <v>6</v>
      </c>
      <c r="C51" s="182" t="s">
        <v>114</v>
      </c>
      <c r="D51" s="203">
        <v>116.10000000000001</v>
      </c>
      <c r="E51" s="74">
        <v>105.8</v>
      </c>
    </row>
    <row r="52" spans="2:5">
      <c r="B52" s="181" t="s">
        <v>8</v>
      </c>
      <c r="C52" s="182" t="s">
        <v>115</v>
      </c>
      <c r="D52" s="203">
        <v>133.52000000000001</v>
      </c>
      <c r="E52" s="74">
        <v>151.91999999999999</v>
      </c>
    </row>
    <row r="53" spans="2:5" ht="14.25" customHeight="1" thickBot="1">
      <c r="B53" s="185" t="s">
        <v>9</v>
      </c>
      <c r="C53" s="186" t="s">
        <v>41</v>
      </c>
      <c r="D53" s="205">
        <v>131.79</v>
      </c>
      <c r="E53" s="309">
        <v>149.6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154650.44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154650.44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154650.44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154650.44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F81"/>
  <sheetViews>
    <sheetView topLeftCell="A19" zoomScale="80" zoomScaleNormal="80" workbookViewId="0">
      <selection activeCell="I43" sqref="I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3"/>
      <c r="C4" s="143"/>
      <c r="D4" s="143"/>
      <c r="E4" s="143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254</v>
      </c>
      <c r="C6" s="351"/>
      <c r="D6" s="351"/>
      <c r="E6" s="351"/>
    </row>
    <row r="7" spans="2:5" ht="14.25">
      <c r="B7" s="141"/>
      <c r="C7" s="141"/>
      <c r="D7" s="141"/>
      <c r="E7" s="141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42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109444.67</v>
      </c>
      <c r="E11" s="229">
        <f>SUM(E12:E14)</f>
        <v>121051.41</v>
      </c>
    </row>
    <row r="12" spans="2:5">
      <c r="B12" s="170" t="s">
        <v>4</v>
      </c>
      <c r="C12" s="171" t="s">
        <v>5</v>
      </c>
      <c r="D12" s="245">
        <v>109444.67</v>
      </c>
      <c r="E12" s="251">
        <v>121051.41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109444.67</v>
      </c>
      <c r="E21" s="147">
        <f>E11-E17</f>
        <v>121051.41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163286.05000000002</v>
      </c>
      <c r="E26" s="219">
        <f>D21</f>
        <v>109444.67</v>
      </c>
    </row>
    <row r="27" spans="2:6">
      <c r="B27" s="9" t="s">
        <v>17</v>
      </c>
      <c r="C27" s="10" t="s">
        <v>111</v>
      </c>
      <c r="D27" s="198">
        <v>2583.79</v>
      </c>
      <c r="E27" s="292">
        <f>E28-E32</f>
        <v>3198.2400000000016</v>
      </c>
      <c r="F27" s="71"/>
    </row>
    <row r="28" spans="2:6">
      <c r="B28" s="9" t="s">
        <v>18</v>
      </c>
      <c r="C28" s="10" t="s">
        <v>19</v>
      </c>
      <c r="D28" s="198">
        <v>6938.08</v>
      </c>
      <c r="E28" s="293">
        <f>E29+E31</f>
        <v>32065.329999999998</v>
      </c>
      <c r="F28" s="71"/>
    </row>
    <row r="29" spans="2:6">
      <c r="B29" s="178" t="s">
        <v>4</v>
      </c>
      <c r="C29" s="171" t="s">
        <v>20</v>
      </c>
      <c r="D29" s="199">
        <v>6154.39</v>
      </c>
      <c r="E29" s="295">
        <v>4210.28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783.69</v>
      </c>
      <c r="E31" s="295">
        <v>27855.05</v>
      </c>
      <c r="F31" s="71"/>
    </row>
    <row r="32" spans="2:6">
      <c r="B32" s="91" t="s">
        <v>23</v>
      </c>
      <c r="C32" s="11" t="s">
        <v>24</v>
      </c>
      <c r="D32" s="198">
        <v>4354.29</v>
      </c>
      <c r="E32" s="293">
        <f>SUM(E33:E39)</f>
        <v>28867.089999999997</v>
      </c>
      <c r="F32" s="71"/>
    </row>
    <row r="33" spans="2:6">
      <c r="B33" s="178" t="s">
        <v>4</v>
      </c>
      <c r="C33" s="171" t="s">
        <v>25</v>
      </c>
      <c r="D33" s="199">
        <v>2594.5500000000002</v>
      </c>
      <c r="E33" s="295">
        <f>5133.35+88.15</f>
        <v>5221.5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422.03</v>
      </c>
      <c r="E35" s="295">
        <v>366.8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1337.71</v>
      </c>
      <c r="E37" s="295">
        <v>735.37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22543.42</v>
      </c>
      <c r="F39" s="71"/>
    </row>
    <row r="40" spans="2:6" ht="13.5" thickBot="1">
      <c r="B40" s="96" t="s">
        <v>35</v>
      </c>
      <c r="C40" s="97" t="s">
        <v>36</v>
      </c>
      <c r="D40" s="201">
        <v>14857.16</v>
      </c>
      <c r="E40" s="306">
        <v>8408.5</v>
      </c>
    </row>
    <row r="41" spans="2:6" ht="13.5" thickBot="1">
      <c r="B41" s="98" t="s">
        <v>37</v>
      </c>
      <c r="C41" s="99" t="s">
        <v>38</v>
      </c>
      <c r="D41" s="202">
        <v>180727.00000000003</v>
      </c>
      <c r="E41" s="147">
        <f>E26+E27+E40</f>
        <v>121051.41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42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1872.9760000000001</v>
      </c>
      <c r="E47" s="73">
        <v>1122.3943999999999</v>
      </c>
    </row>
    <row r="48" spans="2:6">
      <c r="B48" s="122" t="s">
        <v>6</v>
      </c>
      <c r="C48" s="22" t="s">
        <v>41</v>
      </c>
      <c r="D48" s="203">
        <v>1899.7897613791654</v>
      </c>
      <c r="E48" s="148">
        <v>1154.4097999999999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87.18</v>
      </c>
      <c r="E50" s="74">
        <v>97.51</v>
      </c>
    </row>
    <row r="51" spans="2:5">
      <c r="B51" s="101" t="s">
        <v>6</v>
      </c>
      <c r="C51" s="15" t="s">
        <v>114</v>
      </c>
      <c r="D51" s="203">
        <v>86.76</v>
      </c>
      <c r="E51" s="74">
        <v>69.819999999999993</v>
      </c>
    </row>
    <row r="52" spans="2:5">
      <c r="B52" s="101" t="s">
        <v>8</v>
      </c>
      <c r="C52" s="15" t="s">
        <v>115</v>
      </c>
      <c r="D52" s="203">
        <v>99.94</v>
      </c>
      <c r="E52" s="74">
        <v>107.41</v>
      </c>
    </row>
    <row r="53" spans="2:5" ht="13.5" customHeight="1" thickBot="1">
      <c r="B53" s="102" t="s">
        <v>9</v>
      </c>
      <c r="C53" s="17" t="s">
        <v>41</v>
      </c>
      <c r="D53" s="205">
        <v>95.13</v>
      </c>
      <c r="E53" s="309">
        <v>104.86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121051.41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121051.41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D75</f>
        <v>121051.41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D58-D73</f>
        <v>121051.41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253</v>
      </c>
      <c r="C6" s="351"/>
      <c r="D6" s="351"/>
      <c r="E6" s="351"/>
    </row>
    <row r="7" spans="2:7" ht="14.25">
      <c r="B7" s="144"/>
      <c r="C7" s="144"/>
      <c r="D7" s="144"/>
      <c r="E7" s="144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32224.639999999999</v>
      </c>
      <c r="E11" s="229">
        <f>SUM(E12:E14)</f>
        <v>28387.47</v>
      </c>
    </row>
    <row r="12" spans="2:7">
      <c r="B12" s="170" t="s">
        <v>4</v>
      </c>
      <c r="C12" s="171" t="s">
        <v>5</v>
      </c>
      <c r="D12" s="245">
        <v>32224.639999999999</v>
      </c>
      <c r="E12" s="251">
        <v>28387.47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32224.639999999999</v>
      </c>
      <c r="E21" s="147">
        <f>E11-E17</f>
        <v>28387.47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97105.64</v>
      </c>
      <c r="E26" s="219">
        <f>D21</f>
        <v>32224.639999999999</v>
      </c>
    </row>
    <row r="27" spans="2:6">
      <c r="B27" s="9" t="s">
        <v>17</v>
      </c>
      <c r="C27" s="10" t="s">
        <v>111</v>
      </c>
      <c r="D27" s="198">
        <v>-58488.4</v>
      </c>
      <c r="E27" s="292">
        <f>E28-E32</f>
        <v>433.52000000000021</v>
      </c>
      <c r="F27" s="71"/>
    </row>
    <row r="28" spans="2:6">
      <c r="B28" s="9" t="s">
        <v>18</v>
      </c>
      <c r="C28" s="10" t="s">
        <v>19</v>
      </c>
      <c r="D28" s="198">
        <v>3043.6</v>
      </c>
      <c r="E28" s="293">
        <v>1714.89</v>
      </c>
      <c r="F28" s="71"/>
    </row>
    <row r="29" spans="2:6">
      <c r="B29" s="178" t="s">
        <v>4</v>
      </c>
      <c r="C29" s="171" t="s">
        <v>20</v>
      </c>
      <c r="D29" s="199">
        <v>3043.6</v>
      </c>
      <c r="E29" s="295">
        <v>1714.89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61532</v>
      </c>
      <c r="E32" s="293">
        <f>SUM(E33:E39)</f>
        <v>1281.3699999999999</v>
      </c>
      <c r="F32" s="71"/>
    </row>
    <row r="33" spans="2:6">
      <c r="B33" s="178" t="s">
        <v>4</v>
      </c>
      <c r="C33" s="171" t="s">
        <v>25</v>
      </c>
      <c r="D33" s="199">
        <v>52344.65</v>
      </c>
      <c r="E33" s="295">
        <f>1060.76-137.34+4.91</f>
        <v>928.32999999999993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222.02</v>
      </c>
      <c r="E35" s="295">
        <v>184.47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8965.33</v>
      </c>
      <c r="E37" s="295">
        <v>168.57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4051.36</v>
      </c>
      <c r="E40" s="306">
        <v>-4270.6899999999996</v>
      </c>
    </row>
    <row r="41" spans="2:6" ht="13.5" thickBot="1">
      <c r="B41" s="98" t="s">
        <v>37</v>
      </c>
      <c r="C41" s="99" t="s">
        <v>38</v>
      </c>
      <c r="D41" s="202">
        <v>42668.6</v>
      </c>
      <c r="E41" s="147">
        <f>E26+E27+E40</f>
        <v>28387.47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836.97329999999999</v>
      </c>
      <c r="E47" s="73">
        <v>249.0119</v>
      </c>
    </row>
    <row r="48" spans="2:6">
      <c r="B48" s="183" t="s">
        <v>6</v>
      </c>
      <c r="C48" s="184" t="s">
        <v>41</v>
      </c>
      <c r="D48" s="203">
        <v>346.87098609869116</v>
      </c>
      <c r="E48" s="148">
        <v>252.37790000000001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116.02</v>
      </c>
      <c r="E50" s="74">
        <v>129.41</v>
      </c>
    </row>
    <row r="51" spans="2:5">
      <c r="B51" s="181" t="s">
        <v>6</v>
      </c>
      <c r="C51" s="182" t="s">
        <v>114</v>
      </c>
      <c r="D51" s="203">
        <v>115.37</v>
      </c>
      <c r="E51" s="74">
        <v>87.04</v>
      </c>
    </row>
    <row r="52" spans="2:5">
      <c r="B52" s="181" t="s">
        <v>8</v>
      </c>
      <c r="C52" s="182" t="s">
        <v>115</v>
      </c>
      <c r="D52" s="203">
        <v>125.33</v>
      </c>
      <c r="E52" s="74">
        <v>134.47</v>
      </c>
    </row>
    <row r="53" spans="2:5" ht="13.5" customHeight="1" thickBot="1">
      <c r="B53" s="185" t="s">
        <v>9</v>
      </c>
      <c r="C53" s="186" t="s">
        <v>41</v>
      </c>
      <c r="D53" s="205">
        <v>123.01</v>
      </c>
      <c r="E53" s="309">
        <v>112.48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28387.47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28387.47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28387.47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28387.47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255</v>
      </c>
      <c r="C6" s="351"/>
      <c r="D6" s="351"/>
      <c r="E6" s="351"/>
    </row>
    <row r="7" spans="2:7" ht="14.25">
      <c r="B7" s="144"/>
      <c r="C7" s="144"/>
      <c r="D7" s="144"/>
      <c r="E7" s="144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75863.44</v>
      </c>
      <c r="E11" s="229">
        <f>SUM(E12:E14)</f>
        <v>58039.96</v>
      </c>
    </row>
    <row r="12" spans="2:7">
      <c r="B12" s="170" t="s">
        <v>4</v>
      </c>
      <c r="C12" s="171" t="s">
        <v>5</v>
      </c>
      <c r="D12" s="245">
        <v>75863.44</v>
      </c>
      <c r="E12" s="251">
        <v>58039.96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75863.44</v>
      </c>
      <c r="E21" s="147">
        <f>E11-E17</f>
        <v>58039.96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76861.98</v>
      </c>
      <c r="E26" s="219">
        <f>D21</f>
        <v>75863.44</v>
      </c>
    </row>
    <row r="27" spans="2:6">
      <c r="B27" s="9" t="s">
        <v>17</v>
      </c>
      <c r="C27" s="10" t="s">
        <v>111</v>
      </c>
      <c r="D27" s="198">
        <v>-750.14</v>
      </c>
      <c r="E27" s="292">
        <v>-14371.42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750.14</v>
      </c>
      <c r="E32" s="293">
        <f>SUM(E33:E39)</f>
        <v>14371.42</v>
      </c>
      <c r="F32" s="71"/>
    </row>
    <row r="33" spans="2:6">
      <c r="B33" s="178" t="s">
        <v>4</v>
      </c>
      <c r="C33" s="171" t="s">
        <v>25</v>
      </c>
      <c r="D33" s="199"/>
      <c r="E33" s="295">
        <v>13813.82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77.88</v>
      </c>
      <c r="E35" s="295">
        <v>60.79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672.26</v>
      </c>
      <c r="E37" s="295">
        <v>496.81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3827.75</v>
      </c>
      <c r="E40" s="306">
        <v>-3452.06</v>
      </c>
    </row>
    <row r="41" spans="2:6" ht="13.5" thickBot="1">
      <c r="B41" s="98" t="s">
        <v>37</v>
      </c>
      <c r="C41" s="99" t="s">
        <v>38</v>
      </c>
      <c r="D41" s="202">
        <v>79939.59</v>
      </c>
      <c r="E41" s="147">
        <f>E26+E27+E40</f>
        <v>58039.960000000006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762.14160000000004</v>
      </c>
      <c r="E47" s="73">
        <v>724.37159999999994</v>
      </c>
    </row>
    <row r="48" spans="2:6">
      <c r="B48" s="183" t="s">
        <v>6</v>
      </c>
      <c r="C48" s="184" t="s">
        <v>41</v>
      </c>
      <c r="D48" s="203">
        <v>754.93050000000005</v>
      </c>
      <c r="E48" s="148">
        <v>581.15509999999995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100.85</v>
      </c>
      <c r="E50" s="74">
        <v>104.73</v>
      </c>
    </row>
    <row r="51" spans="2:5">
      <c r="B51" s="181" t="s">
        <v>6</v>
      </c>
      <c r="C51" s="182" t="s">
        <v>114</v>
      </c>
      <c r="D51" s="203">
        <v>100.61</v>
      </c>
      <c r="E51" s="74">
        <v>73.09</v>
      </c>
    </row>
    <row r="52" spans="2:5">
      <c r="B52" s="181" t="s">
        <v>8</v>
      </c>
      <c r="C52" s="182" t="s">
        <v>115</v>
      </c>
      <c r="D52" s="203">
        <v>108.25</v>
      </c>
      <c r="E52" s="74">
        <v>109.36</v>
      </c>
    </row>
    <row r="53" spans="2:5" ht="12.75" customHeight="1" thickBot="1">
      <c r="B53" s="185" t="s">
        <v>9</v>
      </c>
      <c r="C53" s="186" t="s">
        <v>41</v>
      </c>
      <c r="D53" s="205">
        <v>105.89</v>
      </c>
      <c r="E53" s="309">
        <v>99.87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58039.96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58039.96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58039.96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58039.96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84"/>
      <c r="C4" s="84"/>
      <c r="D4" s="84"/>
      <c r="E4" s="84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142</v>
      </c>
      <c r="C6" s="351"/>
      <c r="D6" s="351"/>
      <c r="E6" s="351"/>
    </row>
    <row r="7" spans="2:5" ht="14.25">
      <c r="B7" s="88"/>
      <c r="C7" s="88"/>
      <c r="D7" s="88"/>
      <c r="E7" s="8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85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10213580.77</v>
      </c>
      <c r="E11" s="229">
        <f>SUM(E12:E14)</f>
        <v>9270024.5900000017</v>
      </c>
    </row>
    <row r="12" spans="2:5">
      <c r="B12" s="105" t="s">
        <v>4</v>
      </c>
      <c r="C12" s="6" t="s">
        <v>5</v>
      </c>
      <c r="D12" s="245">
        <v>10196289.08</v>
      </c>
      <c r="E12" s="251">
        <f>8002735.38+1252323.6-741.61</f>
        <v>9254317.370000001</v>
      </c>
    </row>
    <row r="13" spans="2:5">
      <c r="B13" s="105" t="s">
        <v>6</v>
      </c>
      <c r="C13" s="68" t="s">
        <v>7</v>
      </c>
      <c r="D13" s="241"/>
      <c r="E13" s="252"/>
    </row>
    <row r="14" spans="2:5">
      <c r="B14" s="105" t="s">
        <v>8</v>
      </c>
      <c r="C14" s="68" t="s">
        <v>10</v>
      </c>
      <c r="D14" s="241">
        <v>17291.689999999999</v>
      </c>
      <c r="E14" s="252">
        <f>E15</f>
        <v>15707.22</v>
      </c>
    </row>
    <row r="15" spans="2:5">
      <c r="B15" s="105" t="s">
        <v>106</v>
      </c>
      <c r="C15" s="68" t="s">
        <v>11</v>
      </c>
      <c r="D15" s="241">
        <v>17291.689999999999</v>
      </c>
      <c r="E15" s="252">
        <v>15707.22</v>
      </c>
    </row>
    <row r="16" spans="2:5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36703.17</v>
      </c>
      <c r="E17" s="254">
        <f>E18</f>
        <v>12487.32</v>
      </c>
    </row>
    <row r="18" spans="2:6">
      <c r="B18" s="105" t="s">
        <v>4</v>
      </c>
      <c r="C18" s="6" t="s">
        <v>11</v>
      </c>
      <c r="D18" s="243">
        <v>36703.17</v>
      </c>
      <c r="E18" s="253">
        <v>12487.32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10176877.6</v>
      </c>
      <c r="E21" s="147">
        <f>E11-E17</f>
        <v>9257537.2700000014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8" customHeight="1" thickBot="1">
      <c r="B24" s="352" t="s">
        <v>105</v>
      </c>
      <c r="C24" s="362"/>
      <c r="D24" s="362"/>
      <c r="E24" s="362"/>
    </row>
    <row r="25" spans="2:6" ht="13.5" thickBot="1">
      <c r="B25" s="85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11417763.560000001</v>
      </c>
      <c r="E26" s="219">
        <f>D21</f>
        <v>10176877.6</v>
      </c>
    </row>
    <row r="27" spans="2:6">
      <c r="B27" s="9" t="s">
        <v>17</v>
      </c>
      <c r="C27" s="10" t="s">
        <v>111</v>
      </c>
      <c r="D27" s="198">
        <v>-968629.9800000001</v>
      </c>
      <c r="E27" s="292">
        <f>E28-E32</f>
        <v>-935982.26999999979</v>
      </c>
      <c r="F27" s="71"/>
    </row>
    <row r="28" spans="2:6">
      <c r="B28" s="9" t="s">
        <v>18</v>
      </c>
      <c r="C28" s="10" t="s">
        <v>19</v>
      </c>
      <c r="D28" s="198">
        <v>551459.1</v>
      </c>
      <c r="E28" s="293">
        <v>538160.25</v>
      </c>
      <c r="F28" s="71"/>
    </row>
    <row r="29" spans="2:6">
      <c r="B29" s="103" t="s">
        <v>4</v>
      </c>
      <c r="C29" s="6" t="s">
        <v>20</v>
      </c>
      <c r="D29" s="199">
        <v>537447.72</v>
      </c>
      <c r="E29" s="295">
        <v>506321.25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14011.38</v>
      </c>
      <c r="E31" s="295">
        <v>31839</v>
      </c>
      <c r="F31" s="71"/>
    </row>
    <row r="32" spans="2:6">
      <c r="B32" s="91" t="s">
        <v>23</v>
      </c>
      <c r="C32" s="11" t="s">
        <v>24</v>
      </c>
      <c r="D32" s="198">
        <v>1520089.08</v>
      </c>
      <c r="E32" s="293">
        <f>SUM(E33:E39)</f>
        <v>1474142.5199999998</v>
      </c>
      <c r="F32" s="71"/>
    </row>
    <row r="33" spans="2:6">
      <c r="B33" s="103" t="s">
        <v>4</v>
      </c>
      <c r="C33" s="6" t="s">
        <v>25</v>
      </c>
      <c r="D33" s="199">
        <v>1130163.1599999999</v>
      </c>
      <c r="E33" s="295">
        <f>1247335.13-3315.27</f>
        <v>1244019.8599999999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67114.8</v>
      </c>
      <c r="E35" s="295">
        <v>71145.63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88187.260000000009</v>
      </c>
      <c r="E37" s="295">
        <v>65256.33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234623.86</v>
      </c>
      <c r="E39" s="297">
        <v>93720.7</v>
      </c>
      <c r="F39" s="71"/>
    </row>
    <row r="40" spans="2:6" ht="13.5" thickBot="1">
      <c r="B40" s="96" t="s">
        <v>35</v>
      </c>
      <c r="C40" s="97" t="s">
        <v>36</v>
      </c>
      <c r="D40" s="201">
        <v>801018.88</v>
      </c>
      <c r="E40" s="306">
        <v>16641.939999999999</v>
      </c>
    </row>
    <row r="41" spans="2:6" ht="13.5" thickBot="1">
      <c r="B41" s="98" t="s">
        <v>37</v>
      </c>
      <c r="C41" s="99" t="s">
        <v>38</v>
      </c>
      <c r="D41" s="202">
        <v>11250152.460000001</v>
      </c>
      <c r="E41" s="147">
        <f>E26+E27+E40</f>
        <v>9257537.2699999996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7.25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97799.806599999996</v>
      </c>
      <c r="E47" s="73">
        <v>80988.870500000005</v>
      </c>
    </row>
    <row r="48" spans="2:6">
      <c r="B48" s="122" t="s">
        <v>6</v>
      </c>
      <c r="C48" s="22" t="s">
        <v>41</v>
      </c>
      <c r="D48" s="203">
        <v>89928.844945587785</v>
      </c>
      <c r="E48" s="316">
        <v>73547.397899999996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116.746279534903</v>
      </c>
      <c r="E50" s="73">
        <v>125.65770000000001</v>
      </c>
    </row>
    <row r="51" spans="2:5">
      <c r="B51" s="101" t="s">
        <v>6</v>
      </c>
      <c r="C51" s="15" t="s">
        <v>114</v>
      </c>
      <c r="D51" s="203">
        <v>116.02849999999999</v>
      </c>
      <c r="E51" s="342">
        <v>94.142799999999994</v>
      </c>
    </row>
    <row r="52" spans="2:5" ht="12.75" customHeight="1">
      <c r="B52" s="101" t="s">
        <v>8</v>
      </c>
      <c r="C52" s="15" t="s">
        <v>115</v>
      </c>
      <c r="D52" s="203">
        <v>129.62370000000001</v>
      </c>
      <c r="E52" s="342">
        <v>129.8879</v>
      </c>
    </row>
    <row r="53" spans="2:5" ht="13.5" thickBot="1">
      <c r="B53" s="102" t="s">
        <v>9</v>
      </c>
      <c r="C53" s="17" t="s">
        <v>41</v>
      </c>
      <c r="D53" s="205">
        <v>125.1006</v>
      </c>
      <c r="E53" s="309">
        <v>125.8717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9254317.3699999992</v>
      </c>
      <c r="E58" s="31">
        <f>D58/E21</f>
        <v>0.99965218611536821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f>8002735.38-741.61</f>
        <v>8001993.7699999996</v>
      </c>
      <c r="E64" s="80">
        <f>D64/E21</f>
        <v>0.86437607936305916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1252323.6000000001</v>
      </c>
      <c r="E69" s="78">
        <f>D69/E21</f>
        <v>0.13527610675230908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f>D71/E21</f>
        <v>0</v>
      </c>
    </row>
    <row r="72" spans="2:5">
      <c r="B72" s="115" t="s">
        <v>60</v>
      </c>
      <c r="C72" s="116" t="s">
        <v>63</v>
      </c>
      <c r="D72" s="117">
        <f>E14</f>
        <v>15707.22</v>
      </c>
      <c r="E72" s="118">
        <f>D72/E21</f>
        <v>1.6966953026374364E-3</v>
      </c>
    </row>
    <row r="73" spans="2:5">
      <c r="B73" s="23" t="s">
        <v>62</v>
      </c>
      <c r="C73" s="24" t="s">
        <v>65</v>
      </c>
      <c r="D73" s="25">
        <f>E17</f>
        <v>12487.32</v>
      </c>
      <c r="E73" s="26">
        <f>D73/E21</f>
        <v>1.3488814180058924E-3</v>
      </c>
    </row>
    <row r="74" spans="2:5">
      <c r="B74" s="119" t="s">
        <v>64</v>
      </c>
      <c r="C74" s="120" t="s">
        <v>66</v>
      </c>
      <c r="D74" s="121">
        <f>D58+D71+D72-D73</f>
        <v>9257537.2699999996</v>
      </c>
      <c r="E74" s="66">
        <f>E58+E72-E73</f>
        <v>0.99999999999999967</v>
      </c>
    </row>
    <row r="75" spans="2:5">
      <c r="B75" s="14" t="s">
        <v>4</v>
      </c>
      <c r="C75" s="15" t="s">
        <v>67</v>
      </c>
      <c r="D75" s="77">
        <f>D74</f>
        <v>9257537.2699999996</v>
      </c>
      <c r="E75" s="78">
        <f>E74</f>
        <v>0.99999999999999967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256</v>
      </c>
      <c r="C6" s="351"/>
      <c r="D6" s="351"/>
      <c r="E6" s="351"/>
    </row>
    <row r="7" spans="2:7" ht="14.25">
      <c r="B7" s="144"/>
      <c r="C7" s="144"/>
      <c r="D7" s="144"/>
      <c r="E7" s="144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110148.53</v>
      </c>
      <c r="E11" s="229">
        <f>SUM(E12:E14)</f>
        <v>102959.72</v>
      </c>
    </row>
    <row r="12" spans="2:7">
      <c r="B12" s="170" t="s">
        <v>4</v>
      </c>
      <c r="C12" s="171" t="s">
        <v>5</v>
      </c>
      <c r="D12" s="245">
        <v>110148.53</v>
      </c>
      <c r="E12" s="251">
        <v>102959.72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110148.53</v>
      </c>
      <c r="E21" s="147">
        <f>E11-E17</f>
        <v>102959.72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375341.18</v>
      </c>
      <c r="E26" s="219">
        <f>D21</f>
        <v>110148.53</v>
      </c>
    </row>
    <row r="27" spans="2:6">
      <c r="B27" s="9" t="s">
        <v>17</v>
      </c>
      <c r="C27" s="10" t="s">
        <v>111</v>
      </c>
      <c r="D27" s="198">
        <v>-181470.47</v>
      </c>
      <c r="E27" s="292">
        <f>E28-E32</f>
        <v>4312.55</v>
      </c>
      <c r="F27" s="71"/>
    </row>
    <row r="28" spans="2:6">
      <c r="B28" s="9" t="s">
        <v>18</v>
      </c>
      <c r="C28" s="10" t="s">
        <v>19</v>
      </c>
      <c r="D28" s="198">
        <v>2115.91</v>
      </c>
      <c r="E28" s="293">
        <f>E29+E31</f>
        <v>5340.67</v>
      </c>
      <c r="F28" s="71"/>
    </row>
    <row r="29" spans="2:6">
      <c r="B29" s="178" t="s">
        <v>4</v>
      </c>
      <c r="C29" s="171" t="s">
        <v>20</v>
      </c>
      <c r="D29" s="199">
        <v>1975.9</v>
      </c>
      <c r="E29" s="295">
        <v>1586.84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140.01</v>
      </c>
      <c r="E31" s="295">
        <v>3753.83</v>
      </c>
      <c r="F31" s="71"/>
    </row>
    <row r="32" spans="2:6">
      <c r="B32" s="91" t="s">
        <v>23</v>
      </c>
      <c r="C32" s="11" t="s">
        <v>24</v>
      </c>
      <c r="D32" s="198">
        <v>183586.38</v>
      </c>
      <c r="E32" s="293">
        <v>1028.1199999999999</v>
      </c>
      <c r="F32" s="71"/>
    </row>
    <row r="33" spans="2:6">
      <c r="B33" s="178" t="s">
        <v>4</v>
      </c>
      <c r="C33" s="171" t="s">
        <v>25</v>
      </c>
      <c r="D33" s="199">
        <v>180784.53</v>
      </c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321.45</v>
      </c>
      <c r="E35" s="295">
        <v>122.65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2480.4</v>
      </c>
      <c r="E37" s="295">
        <v>761.37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144.1</v>
      </c>
      <c r="F39" s="71"/>
    </row>
    <row r="40" spans="2:6" ht="13.5" thickBot="1">
      <c r="B40" s="96" t="s">
        <v>35</v>
      </c>
      <c r="C40" s="97" t="s">
        <v>36</v>
      </c>
      <c r="D40" s="201">
        <v>17882.689999999999</v>
      </c>
      <c r="E40" s="306">
        <v>-11501.36</v>
      </c>
    </row>
    <row r="41" spans="2:6" ht="13.5" thickBot="1">
      <c r="B41" s="98" t="s">
        <v>37</v>
      </c>
      <c r="C41" s="99" t="s">
        <v>38</v>
      </c>
      <c r="D41" s="202">
        <v>211753.4</v>
      </c>
      <c r="E41" s="147">
        <f>E26+E27+E40</f>
        <v>102959.72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1823.2837</v>
      </c>
      <c r="E47" s="73">
        <v>540.68589999999995</v>
      </c>
    </row>
    <row r="48" spans="2:6">
      <c r="B48" s="183" t="s">
        <v>6</v>
      </c>
      <c r="C48" s="184" t="s">
        <v>41</v>
      </c>
      <c r="D48" s="203">
        <v>985.72479999999996</v>
      </c>
      <c r="E48" s="148">
        <v>566.49090000000001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205.86</v>
      </c>
      <c r="E50" s="74">
        <v>203.72</v>
      </c>
    </row>
    <row r="51" spans="2:5">
      <c r="B51" s="181" t="s">
        <v>6</v>
      </c>
      <c r="C51" s="182" t="s">
        <v>114</v>
      </c>
      <c r="D51" s="203">
        <v>203.92000000000002</v>
      </c>
      <c r="E51" s="74">
        <v>136.11000000000001</v>
      </c>
    </row>
    <row r="52" spans="2:5">
      <c r="B52" s="181" t="s">
        <v>8</v>
      </c>
      <c r="C52" s="182" t="s">
        <v>115</v>
      </c>
      <c r="D52" s="203">
        <v>220.15</v>
      </c>
      <c r="E52" s="74">
        <v>209.53</v>
      </c>
    </row>
    <row r="53" spans="2:5" ht="13.5" customHeight="1" thickBot="1">
      <c r="B53" s="185" t="s">
        <v>9</v>
      </c>
      <c r="C53" s="186" t="s">
        <v>41</v>
      </c>
      <c r="D53" s="205">
        <v>214.82</v>
      </c>
      <c r="E53" s="309">
        <v>181.75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102959.72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102959.72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102959.72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102959.72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257</v>
      </c>
      <c r="C6" s="351"/>
      <c r="D6" s="351"/>
      <c r="E6" s="351"/>
    </row>
    <row r="7" spans="2:7" ht="14.25">
      <c r="B7" s="144"/>
      <c r="C7" s="144"/>
      <c r="D7" s="144"/>
      <c r="E7" s="144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264319.95</v>
      </c>
      <c r="E11" s="229">
        <f>SUM(E12:E14)</f>
        <v>275452.93</v>
      </c>
    </row>
    <row r="12" spans="2:7">
      <c r="B12" s="170" t="s">
        <v>4</v>
      </c>
      <c r="C12" s="171" t="s">
        <v>5</v>
      </c>
      <c r="D12" s="245">
        <v>264319.95</v>
      </c>
      <c r="E12" s="251">
        <v>275452.93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264319.95</v>
      </c>
      <c r="E21" s="147">
        <f>E11-E17</f>
        <v>275452.93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326312.65999999997</v>
      </c>
      <c r="E26" s="219">
        <f>D21</f>
        <v>264319.95</v>
      </c>
    </row>
    <row r="27" spans="2:6">
      <c r="B27" s="9" t="s">
        <v>17</v>
      </c>
      <c r="C27" s="10" t="s">
        <v>111</v>
      </c>
      <c r="D27" s="198">
        <v>-43706.729999999996</v>
      </c>
      <c r="E27" s="292">
        <f>E28-E32</f>
        <v>2512.9799999999996</v>
      </c>
      <c r="F27" s="71"/>
    </row>
    <row r="28" spans="2:6">
      <c r="B28" s="9" t="s">
        <v>18</v>
      </c>
      <c r="C28" s="10" t="s">
        <v>19</v>
      </c>
      <c r="D28" s="198">
        <v>16818.38</v>
      </c>
      <c r="E28" s="293">
        <f>E29+E31</f>
        <v>18586.29</v>
      </c>
      <c r="F28" s="71"/>
    </row>
    <row r="29" spans="2:6">
      <c r="B29" s="178" t="s">
        <v>4</v>
      </c>
      <c r="C29" s="171" t="s">
        <v>20</v>
      </c>
      <c r="D29" s="199">
        <v>4073.44</v>
      </c>
      <c r="E29" s="295">
        <v>5716.49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12744.94</v>
      </c>
      <c r="E31" s="295">
        <v>12869.8</v>
      </c>
      <c r="F31" s="71"/>
    </row>
    <row r="32" spans="2:6">
      <c r="B32" s="91" t="s">
        <v>23</v>
      </c>
      <c r="C32" s="11" t="s">
        <v>24</v>
      </c>
      <c r="D32" s="198">
        <v>60525.11</v>
      </c>
      <c r="E32" s="293">
        <f>SUM(E33:E39)</f>
        <v>16073.310000000001</v>
      </c>
      <c r="F32" s="71"/>
    </row>
    <row r="33" spans="2:6">
      <c r="B33" s="178" t="s">
        <v>4</v>
      </c>
      <c r="C33" s="171" t="s">
        <v>25</v>
      </c>
      <c r="D33" s="199">
        <v>41593.86</v>
      </c>
      <c r="E33" s="295">
        <f>584.28+470.78</f>
        <v>1055.06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692.55</v>
      </c>
      <c r="E35" s="295">
        <v>671.74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8552.67</v>
      </c>
      <c r="E37" s="295">
        <v>2166.9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9686.0300000000007</v>
      </c>
      <c r="E39" s="297">
        <v>12179.61</v>
      </c>
      <c r="F39" s="71"/>
    </row>
    <row r="40" spans="2:6" ht="13.5" thickBot="1">
      <c r="B40" s="96" t="s">
        <v>35</v>
      </c>
      <c r="C40" s="97" t="s">
        <v>36</v>
      </c>
      <c r="D40" s="201">
        <v>6159.61</v>
      </c>
      <c r="E40" s="306">
        <v>8620</v>
      </c>
    </row>
    <row r="41" spans="2:6" ht="13.5" thickBot="1">
      <c r="B41" s="98" t="s">
        <v>37</v>
      </c>
      <c r="C41" s="99" t="s">
        <v>38</v>
      </c>
      <c r="D41" s="202">
        <v>288765.53999999998</v>
      </c>
      <c r="E41" s="147">
        <f>E26+E27+E40</f>
        <v>275452.93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4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923.71811000000002</v>
      </c>
      <c r="E47" s="73">
        <v>717.38350000000003</v>
      </c>
    </row>
    <row r="48" spans="2:6">
      <c r="B48" s="122" t="s">
        <v>6</v>
      </c>
      <c r="C48" s="22" t="s">
        <v>41</v>
      </c>
      <c r="D48" s="203">
        <v>800.19270097264939</v>
      </c>
      <c r="E48" s="148">
        <v>724.41859999999997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353.26</v>
      </c>
      <c r="E50" s="74">
        <v>368.45</v>
      </c>
    </row>
    <row r="51" spans="2:5">
      <c r="B51" s="101" t="s">
        <v>6</v>
      </c>
      <c r="C51" s="15" t="s">
        <v>114</v>
      </c>
      <c r="D51" s="203">
        <v>352.17</v>
      </c>
      <c r="E51" s="74">
        <v>362.74</v>
      </c>
    </row>
    <row r="52" spans="2:5">
      <c r="B52" s="101" t="s">
        <v>8</v>
      </c>
      <c r="C52" s="15" t="s">
        <v>115</v>
      </c>
      <c r="D52" s="203">
        <v>361.12</v>
      </c>
      <c r="E52" s="74">
        <v>380.74</v>
      </c>
    </row>
    <row r="53" spans="2:5" ht="13.5" customHeight="1" thickBot="1">
      <c r="B53" s="102" t="s">
        <v>9</v>
      </c>
      <c r="C53" s="17" t="s">
        <v>41</v>
      </c>
      <c r="D53" s="205">
        <v>360.87</v>
      </c>
      <c r="E53" s="309">
        <v>380.24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275452.93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275452.93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275452.93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275452.93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6"/>
      <c r="C4" s="146"/>
      <c r="D4" s="146"/>
      <c r="E4" s="146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258</v>
      </c>
      <c r="C6" s="351"/>
      <c r="D6" s="351"/>
      <c r="E6" s="351"/>
    </row>
    <row r="7" spans="2:5" ht="14.25">
      <c r="B7" s="144"/>
      <c r="C7" s="144"/>
      <c r="D7" s="144"/>
      <c r="E7" s="144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45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120943.93</v>
      </c>
      <c r="E11" s="229">
        <f>SUM(E12:E14)</f>
        <v>118289.38</v>
      </c>
    </row>
    <row r="12" spans="2:5">
      <c r="B12" s="170" t="s">
        <v>4</v>
      </c>
      <c r="C12" s="171" t="s">
        <v>5</v>
      </c>
      <c r="D12" s="245">
        <v>120943.93</v>
      </c>
      <c r="E12" s="251">
        <v>118289.38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120943.93</v>
      </c>
      <c r="E21" s="147">
        <f>E11-E17</f>
        <v>118289.38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148305.16999999998</v>
      </c>
      <c r="E26" s="219">
        <f>D21</f>
        <v>120943.93</v>
      </c>
    </row>
    <row r="27" spans="2:6">
      <c r="B27" s="9" t="s">
        <v>17</v>
      </c>
      <c r="C27" s="10" t="s">
        <v>111</v>
      </c>
      <c r="D27" s="198">
        <v>-30529.850000000002</v>
      </c>
      <c r="E27" s="292">
        <f>E28-E32</f>
        <v>-4834.0899999999965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99236.26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99236.26</v>
      </c>
      <c r="F31" s="71"/>
    </row>
    <row r="32" spans="2:6">
      <c r="B32" s="91" t="s">
        <v>23</v>
      </c>
      <c r="C32" s="11" t="s">
        <v>24</v>
      </c>
      <c r="D32" s="198">
        <v>30529.850000000002</v>
      </c>
      <c r="E32" s="293">
        <f>SUM(E33:E39)</f>
        <v>104070.34999999999</v>
      </c>
      <c r="F32" s="71"/>
    </row>
    <row r="33" spans="2:6">
      <c r="B33" s="178" t="s">
        <v>4</v>
      </c>
      <c r="C33" s="171" t="s">
        <v>25</v>
      </c>
      <c r="D33" s="199">
        <v>29163.49</v>
      </c>
      <c r="E33" s="295">
        <f>2054.52+0.63</f>
        <v>2055.15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116.66</v>
      </c>
      <c r="E35" s="295">
        <v>155.80000000000001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1249.7</v>
      </c>
      <c r="E37" s="295">
        <v>1492.47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100366.93</v>
      </c>
      <c r="F39" s="71"/>
    </row>
    <row r="40" spans="2:6" ht="13.5" thickBot="1">
      <c r="B40" s="96" t="s">
        <v>35</v>
      </c>
      <c r="C40" s="97" t="s">
        <v>36</v>
      </c>
      <c r="D40" s="201">
        <v>2543.9699999999998</v>
      </c>
      <c r="E40" s="306">
        <v>2179.54</v>
      </c>
    </row>
    <row r="41" spans="2:6" ht="13.5" thickBot="1">
      <c r="B41" s="98" t="s">
        <v>37</v>
      </c>
      <c r="C41" s="99" t="s">
        <v>38</v>
      </c>
      <c r="D41" s="202">
        <v>120319.28999999998</v>
      </c>
      <c r="E41" s="147">
        <f>E26+E27+E40</f>
        <v>118289.37999999999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4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671.85452999999995</v>
      </c>
      <c r="E47" s="73">
        <v>528.41630000000009</v>
      </c>
    </row>
    <row r="48" spans="2:6">
      <c r="B48" s="122" t="s">
        <v>6</v>
      </c>
      <c r="C48" s="22" t="s">
        <v>41</v>
      </c>
      <c r="D48" s="203">
        <v>534.75240000000008</v>
      </c>
      <c r="E48" s="148">
        <v>514.10050000000001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220.74</v>
      </c>
      <c r="E50" s="74">
        <v>228.88</v>
      </c>
    </row>
    <row r="51" spans="2:5">
      <c r="B51" s="101" t="s">
        <v>6</v>
      </c>
      <c r="C51" s="15" t="s">
        <v>114</v>
      </c>
      <c r="D51" s="203">
        <v>220.52</v>
      </c>
      <c r="E51" s="74">
        <v>224.75</v>
      </c>
    </row>
    <row r="52" spans="2:5">
      <c r="B52" s="101" t="s">
        <v>8</v>
      </c>
      <c r="C52" s="15" t="s">
        <v>115</v>
      </c>
      <c r="D52" s="203">
        <v>225.07</v>
      </c>
      <c r="E52" s="74">
        <v>230.87</v>
      </c>
    </row>
    <row r="53" spans="2:5" ht="14.25" customHeight="1" thickBot="1">
      <c r="B53" s="102" t="s">
        <v>9</v>
      </c>
      <c r="C53" s="17" t="s">
        <v>41</v>
      </c>
      <c r="D53" s="205">
        <v>225</v>
      </c>
      <c r="E53" s="309">
        <v>230.09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118289.38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118289.38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80">
        <f>D73/E21</f>
        <v>0</v>
      </c>
    </row>
    <row r="74" spans="2:5">
      <c r="B74" s="129" t="s">
        <v>64</v>
      </c>
      <c r="C74" s="120" t="s">
        <v>66</v>
      </c>
      <c r="D74" s="121">
        <f>D58-D73</f>
        <v>118289.38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118289.38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6"/>
      <c r="C4" s="146"/>
      <c r="D4" s="146"/>
      <c r="E4" s="146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259</v>
      </c>
      <c r="C6" s="351"/>
      <c r="D6" s="351"/>
      <c r="E6" s="351"/>
    </row>
    <row r="7" spans="2:5" ht="14.25">
      <c r="B7" s="144"/>
      <c r="C7" s="144"/>
      <c r="D7" s="144"/>
      <c r="E7" s="144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45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104410.36</v>
      </c>
      <c r="E11" s="229">
        <f>SUM(E12:E14)</f>
        <v>103268.55</v>
      </c>
    </row>
    <row r="12" spans="2:5">
      <c r="B12" s="170" t="s">
        <v>4</v>
      </c>
      <c r="C12" s="171" t="s">
        <v>5</v>
      </c>
      <c r="D12" s="245">
        <v>104410.36</v>
      </c>
      <c r="E12" s="251">
        <v>103268.55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104410.36</v>
      </c>
      <c r="E21" s="147">
        <f>E11-E17</f>
        <v>103268.55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140492.79</v>
      </c>
      <c r="E26" s="219">
        <f>D21</f>
        <v>104410.36</v>
      </c>
    </row>
    <row r="27" spans="2:6">
      <c r="B27" s="9" t="s">
        <v>17</v>
      </c>
      <c r="C27" s="10" t="s">
        <v>111</v>
      </c>
      <c r="D27" s="198">
        <v>-31953.020000000004</v>
      </c>
      <c r="E27" s="292">
        <f>E28-E32</f>
        <v>3588.36</v>
      </c>
      <c r="F27" s="71"/>
    </row>
    <row r="28" spans="2:6">
      <c r="B28" s="9" t="s">
        <v>18</v>
      </c>
      <c r="C28" s="10" t="s">
        <v>19</v>
      </c>
      <c r="D28" s="198">
        <v>5284.08</v>
      </c>
      <c r="E28" s="293">
        <v>5180.21</v>
      </c>
      <c r="F28" s="71"/>
    </row>
    <row r="29" spans="2:6">
      <c r="B29" s="178" t="s">
        <v>4</v>
      </c>
      <c r="C29" s="171" t="s">
        <v>20</v>
      </c>
      <c r="D29" s="199">
        <v>5284.08</v>
      </c>
      <c r="E29" s="295">
        <v>5180.21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37237.100000000006</v>
      </c>
      <c r="E32" s="293">
        <f>SUM(E33:E39)</f>
        <v>1591.85</v>
      </c>
      <c r="F32" s="71"/>
    </row>
    <row r="33" spans="2:6">
      <c r="B33" s="178" t="s">
        <v>4</v>
      </c>
      <c r="C33" s="171" t="s">
        <v>25</v>
      </c>
      <c r="D33" s="199">
        <v>33302.01</v>
      </c>
      <c r="E33" s="295">
        <f>588.04-22.51+3.65</f>
        <v>569.17999999999995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214.86</v>
      </c>
      <c r="E35" s="295">
        <v>234.86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3720.23</v>
      </c>
      <c r="E37" s="295">
        <v>787.81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8453.23</v>
      </c>
      <c r="E40" s="306">
        <v>-4730.17</v>
      </c>
    </row>
    <row r="41" spans="2:6" ht="13.5" thickBot="1">
      <c r="B41" s="98" t="s">
        <v>37</v>
      </c>
      <c r="C41" s="99" t="s">
        <v>38</v>
      </c>
      <c r="D41" s="202">
        <v>116993</v>
      </c>
      <c r="E41" s="147">
        <f>E26+E27+E40</f>
        <v>103268.55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4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442.4273</v>
      </c>
      <c r="E47" s="73">
        <v>306.20670000000001</v>
      </c>
    </row>
    <row r="48" spans="2:6">
      <c r="B48" s="122" t="s">
        <v>6</v>
      </c>
      <c r="C48" s="22" t="s">
        <v>41</v>
      </c>
      <c r="D48" s="203">
        <v>344.63428285268208</v>
      </c>
      <c r="E48" s="148">
        <v>317.7396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317.55</v>
      </c>
      <c r="E50" s="74">
        <v>340.98</v>
      </c>
    </row>
    <row r="51" spans="2:5">
      <c r="B51" s="101" t="s">
        <v>6</v>
      </c>
      <c r="C51" s="15" t="s">
        <v>114</v>
      </c>
      <c r="D51" s="203">
        <v>317.47000000000003</v>
      </c>
      <c r="E51" s="74">
        <v>269.51</v>
      </c>
    </row>
    <row r="52" spans="2:5">
      <c r="B52" s="101" t="s">
        <v>8</v>
      </c>
      <c r="C52" s="15" t="s">
        <v>115</v>
      </c>
      <c r="D52" s="203">
        <v>340.75</v>
      </c>
      <c r="E52" s="74">
        <v>352.38</v>
      </c>
    </row>
    <row r="53" spans="2:5" ht="13.5" customHeight="1" thickBot="1">
      <c r="B53" s="102" t="s">
        <v>9</v>
      </c>
      <c r="C53" s="17" t="s">
        <v>41</v>
      </c>
      <c r="D53" s="205">
        <v>339.47</v>
      </c>
      <c r="E53" s="309">
        <v>325.01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103268.55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103268.55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103268.55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103268.55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G81"/>
  <sheetViews>
    <sheetView zoomScale="80" zoomScaleNormal="80" workbookViewId="0">
      <selection activeCell="G10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260</v>
      </c>
      <c r="C6" s="351"/>
      <c r="D6" s="351"/>
      <c r="E6" s="351"/>
    </row>
    <row r="7" spans="2:7" ht="14.25">
      <c r="B7" s="144"/>
      <c r="C7" s="144"/>
      <c r="D7" s="144"/>
      <c r="E7" s="144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32313.63</v>
      </c>
      <c r="E11" s="229">
        <f>SUM(E12:E14)</f>
        <v>32018.76</v>
      </c>
    </row>
    <row r="12" spans="2:7">
      <c r="B12" s="170" t="s">
        <v>4</v>
      </c>
      <c r="C12" s="171" t="s">
        <v>5</v>
      </c>
      <c r="D12" s="245">
        <v>32313.63</v>
      </c>
      <c r="E12" s="251">
        <v>32018.76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32313.63</v>
      </c>
      <c r="E21" s="147">
        <f>E11-E17</f>
        <v>32018.76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27244.59</v>
      </c>
      <c r="E26" s="219">
        <f>D21</f>
        <v>32313.63</v>
      </c>
    </row>
    <row r="27" spans="2:6">
      <c r="B27" s="9" t="s">
        <v>17</v>
      </c>
      <c r="C27" s="10" t="s">
        <v>111</v>
      </c>
      <c r="D27" s="198">
        <v>-252.91</v>
      </c>
      <c r="E27" s="292">
        <v>-298.04000000000002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252.91</v>
      </c>
      <c r="E32" s="293">
        <f>SUM(E33:E39)</f>
        <v>298.04000000000002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35.159999999999997</v>
      </c>
      <c r="E35" s="295">
        <v>39.25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217.75</v>
      </c>
      <c r="E37" s="295">
        <v>258.79000000000002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242.82</v>
      </c>
      <c r="E40" s="306">
        <v>3.17</v>
      </c>
    </row>
    <row r="41" spans="2:6" ht="13.5" thickBot="1">
      <c r="B41" s="98" t="s">
        <v>37</v>
      </c>
      <c r="C41" s="99" t="s">
        <v>38</v>
      </c>
      <c r="D41" s="202">
        <v>27234.5</v>
      </c>
      <c r="E41" s="269">
        <f>E26+E27+E40</f>
        <v>32018.76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4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221.48269999999999</v>
      </c>
      <c r="E47" s="73">
        <v>257.35610000000003</v>
      </c>
    </row>
    <row r="48" spans="2:6">
      <c r="B48" s="122" t="s">
        <v>6</v>
      </c>
      <c r="C48" s="22" t="s">
        <v>41</v>
      </c>
      <c r="D48" s="203">
        <v>219.4384</v>
      </c>
      <c r="E48" s="148">
        <v>254.9873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123.01</v>
      </c>
      <c r="E50" s="74">
        <v>125.56</v>
      </c>
    </row>
    <row r="51" spans="2:5">
      <c r="B51" s="101" t="s">
        <v>6</v>
      </c>
      <c r="C51" s="15" t="s">
        <v>114</v>
      </c>
      <c r="D51" s="203">
        <v>123.01</v>
      </c>
      <c r="E51" s="74">
        <v>124.33</v>
      </c>
    </row>
    <row r="52" spans="2:5">
      <c r="B52" s="101" t="s">
        <v>8</v>
      </c>
      <c r="C52" s="15" t="s">
        <v>115</v>
      </c>
      <c r="D52" s="203">
        <v>124.14</v>
      </c>
      <c r="E52" s="74">
        <v>126.44</v>
      </c>
    </row>
    <row r="53" spans="2:5" ht="13.5" customHeight="1" thickBot="1">
      <c r="B53" s="102" t="s">
        <v>9</v>
      </c>
      <c r="C53" s="17" t="s">
        <v>41</v>
      </c>
      <c r="D53" s="205">
        <v>124.11</v>
      </c>
      <c r="E53" s="309">
        <v>125.57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32018.76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32018.76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32018.76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32018.76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252</v>
      </c>
      <c r="C6" s="351"/>
      <c r="D6" s="351"/>
      <c r="E6" s="351"/>
    </row>
    <row r="7" spans="2:7" ht="14.25">
      <c r="B7" s="144"/>
      <c r="C7" s="144"/>
      <c r="D7" s="144"/>
      <c r="E7" s="144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201233.5</v>
      </c>
      <c r="E11" s="229">
        <f>SUM(E12:E14)</f>
        <v>205926.58</v>
      </c>
    </row>
    <row r="12" spans="2:7">
      <c r="B12" s="170" t="s">
        <v>4</v>
      </c>
      <c r="C12" s="171" t="s">
        <v>5</v>
      </c>
      <c r="D12" s="245">
        <v>201233.5</v>
      </c>
      <c r="E12" s="251">
        <v>205926.58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201233.5</v>
      </c>
      <c r="E21" s="147">
        <f>E11-E17</f>
        <v>205926.58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279765.01</v>
      </c>
      <c r="E26" s="219">
        <f>D21</f>
        <v>201233.5</v>
      </c>
    </row>
    <row r="27" spans="2:6">
      <c r="B27" s="9" t="s">
        <v>17</v>
      </c>
      <c r="C27" s="10" t="s">
        <v>111</v>
      </c>
      <c r="D27" s="198">
        <v>-1488.12</v>
      </c>
      <c r="E27" s="292">
        <f>E28-E32</f>
        <v>-1115.57</v>
      </c>
      <c r="F27" s="71"/>
    </row>
    <row r="28" spans="2:6">
      <c r="B28" s="9" t="s">
        <v>18</v>
      </c>
      <c r="C28" s="10" t="s">
        <v>19</v>
      </c>
      <c r="D28" s="198">
        <v>771.09</v>
      </c>
      <c r="E28" s="293">
        <v>794.25</v>
      </c>
      <c r="F28" s="71"/>
    </row>
    <row r="29" spans="2:6">
      <c r="B29" s="178" t="s">
        <v>4</v>
      </c>
      <c r="C29" s="171" t="s">
        <v>20</v>
      </c>
      <c r="D29" s="199">
        <v>771.09</v>
      </c>
      <c r="E29" s="295">
        <v>794.25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2259.21</v>
      </c>
      <c r="E32" s="293">
        <f>SUM(E33:E39)</f>
        <v>1909.82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14.36</v>
      </c>
      <c r="E35" s="295">
        <v>17.7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2244.85</v>
      </c>
      <c r="E37" s="295">
        <v>1892.12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9754.2199999999993</v>
      </c>
      <c r="E40" s="306">
        <v>5808.65</v>
      </c>
    </row>
    <row r="41" spans="2:6" ht="13.5" thickBot="1">
      <c r="B41" s="98" t="s">
        <v>37</v>
      </c>
      <c r="C41" s="99" t="s">
        <v>38</v>
      </c>
      <c r="D41" s="202">
        <v>288031.11</v>
      </c>
      <c r="E41" s="147">
        <f>E26+E27+E40</f>
        <v>205926.58</v>
      </c>
      <c r="F41" s="76"/>
    </row>
    <row r="42" spans="2:6">
      <c r="B42" s="92"/>
      <c r="C42" s="92"/>
      <c r="D42" s="218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4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1525.2699</v>
      </c>
      <c r="E47" s="73">
        <v>1017.7701</v>
      </c>
    </row>
    <row r="48" spans="2:6">
      <c r="B48" s="122" t="s">
        <v>6</v>
      </c>
      <c r="C48" s="22" t="s">
        <v>41</v>
      </c>
      <c r="D48" s="203">
        <v>1517.2309</v>
      </c>
      <c r="E48" s="148">
        <v>1012.1729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183.42</v>
      </c>
      <c r="E50" s="74">
        <v>197.72</v>
      </c>
    </row>
    <row r="51" spans="2:5">
      <c r="B51" s="101" t="s">
        <v>6</v>
      </c>
      <c r="C51" s="15" t="s">
        <v>114</v>
      </c>
      <c r="D51" s="203">
        <v>182.37</v>
      </c>
      <c r="E51" s="74">
        <v>188.82</v>
      </c>
    </row>
    <row r="52" spans="2:5">
      <c r="B52" s="101" t="s">
        <v>8</v>
      </c>
      <c r="C52" s="15" t="s">
        <v>115</v>
      </c>
      <c r="D52" s="203">
        <v>190.58</v>
      </c>
      <c r="E52" s="74">
        <v>205.54</v>
      </c>
    </row>
    <row r="53" spans="2:5" ht="13.5" customHeight="1" thickBot="1">
      <c r="B53" s="102" t="s">
        <v>9</v>
      </c>
      <c r="C53" s="17" t="s">
        <v>41</v>
      </c>
      <c r="D53" s="205">
        <v>189.84</v>
      </c>
      <c r="E53" s="309">
        <v>203.45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205926.58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205926.58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205926.58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205926.58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261</v>
      </c>
      <c r="C6" s="351"/>
      <c r="D6" s="351"/>
      <c r="E6" s="351"/>
    </row>
    <row r="7" spans="2:7" ht="14.25">
      <c r="B7" s="144"/>
      <c r="C7" s="144"/>
      <c r="D7" s="144"/>
      <c r="E7" s="144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40954.5</v>
      </c>
      <c r="E11" s="229">
        <f>SUM(E12:E14)</f>
        <v>43554.06</v>
      </c>
    </row>
    <row r="12" spans="2:7">
      <c r="B12" s="170" t="s">
        <v>4</v>
      </c>
      <c r="C12" s="171" t="s">
        <v>5</v>
      </c>
      <c r="D12" s="245">
        <v>40954.5</v>
      </c>
      <c r="E12" s="251">
        <v>43554.06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40954.5</v>
      </c>
      <c r="E21" s="147">
        <f>E11-E17</f>
        <v>43554.06</v>
      </c>
      <c r="F21" s="76"/>
    </row>
    <row r="22" spans="2:6">
      <c r="B22" s="3"/>
      <c r="C22" s="7"/>
      <c r="D22" s="8"/>
      <c r="E22" s="217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34542.54</v>
      </c>
      <c r="E26" s="219">
        <f>D21</f>
        <v>40954.5</v>
      </c>
    </row>
    <row r="27" spans="2:6">
      <c r="B27" s="9" t="s">
        <v>17</v>
      </c>
      <c r="C27" s="10" t="s">
        <v>111</v>
      </c>
      <c r="D27" s="198">
        <v>2221.19</v>
      </c>
      <c r="E27" s="292">
        <f>E28-E32</f>
        <v>2396.04</v>
      </c>
      <c r="F27" s="71"/>
    </row>
    <row r="28" spans="2:6">
      <c r="B28" s="9" t="s">
        <v>18</v>
      </c>
      <c r="C28" s="10" t="s">
        <v>19</v>
      </c>
      <c r="D28" s="198">
        <v>2570.81</v>
      </c>
      <c r="E28" s="293">
        <v>2703.32</v>
      </c>
      <c r="F28" s="71"/>
    </row>
    <row r="29" spans="2:6">
      <c r="B29" s="178" t="s">
        <v>4</v>
      </c>
      <c r="C29" s="171" t="s">
        <v>20</v>
      </c>
      <c r="D29" s="199">
        <v>2570.81</v>
      </c>
      <c r="E29" s="295">
        <v>2703.32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349.62</v>
      </c>
      <c r="E32" s="293">
        <f>SUM(E33:E39)</f>
        <v>307.28000000000003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37.61</v>
      </c>
      <c r="E35" s="295">
        <v>30.43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312.01</v>
      </c>
      <c r="E37" s="295">
        <f>272.93+3.92</f>
        <v>276.85000000000002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1642.97</v>
      </c>
      <c r="E40" s="306">
        <v>203.52</v>
      </c>
    </row>
    <row r="41" spans="2:6" ht="13.5" thickBot="1">
      <c r="B41" s="98" t="s">
        <v>37</v>
      </c>
      <c r="C41" s="99" t="s">
        <v>38</v>
      </c>
      <c r="D41" s="202">
        <v>38406.700000000004</v>
      </c>
      <c r="E41" s="147">
        <f>E26+E27+E40</f>
        <v>43554.06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4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194.6936</v>
      </c>
      <c r="E47" s="73">
        <v>218.97290000000001</v>
      </c>
    </row>
    <row r="48" spans="2:6">
      <c r="B48" s="122" t="s">
        <v>6</v>
      </c>
      <c r="C48" s="22" t="s">
        <v>41</v>
      </c>
      <c r="D48" s="203">
        <v>206.92150000000001</v>
      </c>
      <c r="E48" s="148">
        <v>232.11500000000001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177.42</v>
      </c>
      <c r="E50" s="74">
        <v>187.03</v>
      </c>
    </row>
    <row r="51" spans="2:5">
      <c r="B51" s="101" t="s">
        <v>6</v>
      </c>
      <c r="C51" s="15" t="s">
        <v>114</v>
      </c>
      <c r="D51" s="203">
        <v>177.42</v>
      </c>
      <c r="E51" s="74">
        <v>165.73</v>
      </c>
    </row>
    <row r="52" spans="2:5">
      <c r="B52" s="101" t="s">
        <v>8</v>
      </c>
      <c r="C52" s="15" t="s">
        <v>115</v>
      </c>
      <c r="D52" s="203">
        <v>186.08</v>
      </c>
      <c r="E52" s="74">
        <v>191.06</v>
      </c>
    </row>
    <row r="53" spans="2:5" ht="13.5" customHeight="1" thickBot="1">
      <c r="B53" s="102" t="s">
        <v>9</v>
      </c>
      <c r="C53" s="17" t="s">
        <v>41</v>
      </c>
      <c r="D53" s="205">
        <v>185.61</v>
      </c>
      <c r="E53" s="309">
        <v>187.64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43554.06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43554.06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43554.06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43554.06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G81"/>
  <sheetViews>
    <sheetView topLeftCell="A13"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251</v>
      </c>
      <c r="C6" s="351"/>
      <c r="D6" s="351"/>
      <c r="E6" s="351"/>
    </row>
    <row r="7" spans="2:7" ht="14.25">
      <c r="B7" s="144"/>
      <c r="C7" s="144"/>
      <c r="D7" s="144"/>
      <c r="E7" s="144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4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505768.33</v>
      </c>
      <c r="E11" s="229">
        <f>SUM(E12:E14)</f>
        <v>497789.29</v>
      </c>
    </row>
    <row r="12" spans="2:7">
      <c r="B12" s="170" t="s">
        <v>4</v>
      </c>
      <c r="C12" s="171" t="s">
        <v>5</v>
      </c>
      <c r="D12" s="245">
        <v>505768.33</v>
      </c>
      <c r="E12" s="251">
        <v>497789.29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505768.33</v>
      </c>
      <c r="E21" s="147">
        <f>E11-E17</f>
        <v>497789.29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985073.05</v>
      </c>
      <c r="E26" s="219">
        <f>D21</f>
        <v>505768.33</v>
      </c>
    </row>
    <row r="27" spans="2:6">
      <c r="B27" s="9" t="s">
        <v>17</v>
      </c>
      <c r="C27" s="10" t="s">
        <v>111</v>
      </c>
      <c r="D27" s="198">
        <v>-57999.81</v>
      </c>
      <c r="E27" s="292">
        <v>-21223.38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57999.81</v>
      </c>
      <c r="E32" s="293">
        <f>SUM(E33:E39)</f>
        <v>21223.38</v>
      </c>
      <c r="F32" s="71"/>
    </row>
    <row r="33" spans="2:6">
      <c r="B33" s="178" t="s">
        <v>4</v>
      </c>
      <c r="C33" s="171" t="s">
        <v>25</v>
      </c>
      <c r="D33" s="199">
        <v>49081.77</v>
      </c>
      <c r="E33" s="295">
        <v>15796.03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1595.43</v>
      </c>
      <c r="E35" s="295">
        <v>1611.64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7322.61</v>
      </c>
      <c r="E37" s="295">
        <v>3815.71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22850.31</v>
      </c>
      <c r="E40" s="306">
        <v>13244.34</v>
      </c>
    </row>
    <row r="41" spans="2:6" ht="13.5" thickBot="1">
      <c r="B41" s="98" t="s">
        <v>37</v>
      </c>
      <c r="C41" s="99" t="s">
        <v>38</v>
      </c>
      <c r="D41" s="202">
        <v>949923.55</v>
      </c>
      <c r="E41" s="147">
        <f>E26+E27+E40</f>
        <v>497789.29000000004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4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6287.9678999999996</v>
      </c>
      <c r="E47" s="73">
        <v>3066.9355</v>
      </c>
    </row>
    <row r="48" spans="2:6">
      <c r="B48" s="122" t="s">
        <v>6</v>
      </c>
      <c r="C48" s="22" t="s">
        <v>41</v>
      </c>
      <c r="D48" s="203">
        <v>5917.0521365391805</v>
      </c>
      <c r="E48" s="148">
        <v>2939.4112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156.66</v>
      </c>
      <c r="E50" s="74">
        <v>164.91</v>
      </c>
    </row>
    <row r="51" spans="2:5">
      <c r="B51" s="101" t="s">
        <v>6</v>
      </c>
      <c r="C51" s="15" t="s">
        <v>114</v>
      </c>
      <c r="D51" s="203">
        <v>155.18</v>
      </c>
      <c r="E51" s="74">
        <v>159.16999999999999</v>
      </c>
    </row>
    <row r="52" spans="2:5">
      <c r="B52" s="101" t="s">
        <v>8</v>
      </c>
      <c r="C52" s="15" t="s">
        <v>115</v>
      </c>
      <c r="D52" s="203">
        <v>160.68</v>
      </c>
      <c r="E52" s="74">
        <v>169.61</v>
      </c>
    </row>
    <row r="53" spans="2:5" ht="13.5" customHeight="1" thickBot="1">
      <c r="B53" s="102" t="s">
        <v>9</v>
      </c>
      <c r="C53" s="17" t="s">
        <v>41</v>
      </c>
      <c r="D53" s="205">
        <v>160.54</v>
      </c>
      <c r="E53" s="309">
        <v>169.35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497789.29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497789.29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497789.29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497789.29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271</v>
      </c>
      <c r="C6" s="351"/>
      <c r="D6" s="351"/>
      <c r="E6" s="351"/>
    </row>
    <row r="7" spans="2:7" ht="14.25">
      <c r="B7" s="215"/>
      <c r="C7" s="215"/>
      <c r="D7" s="215"/>
      <c r="E7" s="21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21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137500.97</v>
      </c>
      <c r="E11" s="229">
        <f>SUM(E12:E14)</f>
        <v>78781.55</v>
      </c>
    </row>
    <row r="12" spans="2:7">
      <c r="B12" s="170" t="s">
        <v>4</v>
      </c>
      <c r="C12" s="171" t="s">
        <v>5</v>
      </c>
      <c r="D12" s="245">
        <v>137500.97</v>
      </c>
      <c r="E12" s="251">
        <v>78781.55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137500.97</v>
      </c>
      <c r="E21" s="147">
        <f>E11-E17</f>
        <v>78781.55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6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121343.89</v>
      </c>
      <c r="E26" s="219">
        <f>D21</f>
        <v>137500.97</v>
      </c>
    </row>
    <row r="27" spans="2:6">
      <c r="B27" s="9" t="s">
        <v>17</v>
      </c>
      <c r="C27" s="10" t="s">
        <v>111</v>
      </c>
      <c r="D27" s="198">
        <v>-1035.48</v>
      </c>
      <c r="E27" s="292">
        <f>E28-E32</f>
        <v>-65251.179999999993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75669.78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75669.78</v>
      </c>
      <c r="F31" s="71"/>
    </row>
    <row r="32" spans="2:6">
      <c r="B32" s="91" t="s">
        <v>23</v>
      </c>
      <c r="C32" s="11" t="s">
        <v>24</v>
      </c>
      <c r="D32" s="198">
        <v>1035.48</v>
      </c>
      <c r="E32" s="293">
        <f>SUM(E33:E39)</f>
        <v>140920.95999999999</v>
      </c>
      <c r="F32" s="71"/>
    </row>
    <row r="33" spans="2:6">
      <c r="B33" s="178" t="s">
        <v>4</v>
      </c>
      <c r="C33" s="171" t="s">
        <v>25</v>
      </c>
      <c r="D33" s="199"/>
      <c r="E33" s="295">
        <f>140235.37+184.17</f>
        <v>140419.54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>
        <v>73.08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1035.48</v>
      </c>
      <c r="E37" s="295">
        <v>428.34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10317.84</v>
      </c>
      <c r="E40" s="306">
        <v>6531.76</v>
      </c>
    </row>
    <row r="41" spans="2:6" ht="13.5" thickBot="1">
      <c r="B41" s="98" t="s">
        <v>37</v>
      </c>
      <c r="C41" s="99" t="s">
        <v>38</v>
      </c>
      <c r="D41" s="202">
        <v>130626.25</v>
      </c>
      <c r="E41" s="147">
        <f>E26+E27+E40</f>
        <v>78781.55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216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1164.5287000000001</v>
      </c>
      <c r="E47" s="73">
        <v>1146.0324000000001</v>
      </c>
    </row>
    <row r="48" spans="2:6">
      <c r="B48" s="122" t="s">
        <v>6</v>
      </c>
      <c r="C48" s="22" t="s">
        <v>41</v>
      </c>
      <c r="D48" s="203">
        <v>1155.2689</v>
      </c>
      <c r="E48" s="148">
        <v>587.74659999999994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104.2</v>
      </c>
      <c r="E50" s="74">
        <v>119.98</v>
      </c>
    </row>
    <row r="51" spans="2:5">
      <c r="B51" s="101" t="s">
        <v>6</v>
      </c>
      <c r="C51" s="15" t="s">
        <v>114</v>
      </c>
      <c r="D51" s="203">
        <v>103.42</v>
      </c>
      <c r="E51" s="74">
        <v>111.37</v>
      </c>
    </row>
    <row r="52" spans="2:5">
      <c r="B52" s="101" t="s">
        <v>8</v>
      </c>
      <c r="C52" s="15" t="s">
        <v>115</v>
      </c>
      <c r="D52" s="203">
        <v>116.35000000000001</v>
      </c>
      <c r="E52" s="74">
        <v>136.84</v>
      </c>
    </row>
    <row r="53" spans="2:5" ht="12.75" customHeight="1" thickBot="1">
      <c r="B53" s="102" t="s">
        <v>9</v>
      </c>
      <c r="C53" s="17" t="s">
        <v>41</v>
      </c>
      <c r="D53" s="205">
        <v>113.07</v>
      </c>
      <c r="E53" s="309">
        <v>134.04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78781.55</v>
      </c>
      <c r="E58" s="31">
        <v>0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78781.55</v>
      </c>
      <c r="E64" s="80">
        <f>E58</f>
        <v>0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78781.55</v>
      </c>
      <c r="E74" s="66">
        <f>E58+E72-E73</f>
        <v>0</v>
      </c>
    </row>
    <row r="75" spans="2:5">
      <c r="B75" s="101" t="s">
        <v>4</v>
      </c>
      <c r="C75" s="15" t="s">
        <v>67</v>
      </c>
      <c r="D75" s="77">
        <f>D74</f>
        <v>78781.55</v>
      </c>
      <c r="E75" s="78">
        <f>E74</f>
        <v>0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J49"/>
  <sheetViews>
    <sheetView tabSelected="1" zoomScale="80" zoomScaleNormal="80" workbookViewId="0">
      <selection activeCell="J14" sqref="J14"/>
    </sheetView>
  </sheetViews>
  <sheetFormatPr defaultRowHeight="12.75"/>
  <cols>
    <col min="3" max="3" width="13.85546875" customWidth="1"/>
    <col min="4" max="4" width="19" customWidth="1"/>
    <col min="5" max="5" width="18.5703125" customWidth="1"/>
    <col min="6" max="6" width="11.28515625" bestFit="1" customWidth="1"/>
    <col min="10" max="10" width="16.42578125" bestFit="1" customWidth="1"/>
  </cols>
  <sheetData>
    <row r="1" spans="1:6">
      <c r="A1" s="32"/>
      <c r="B1" s="33"/>
      <c r="C1" s="33" t="s">
        <v>92</v>
      </c>
      <c r="D1" s="34"/>
      <c r="E1" s="34"/>
      <c r="F1" s="34"/>
    </row>
    <row r="2" spans="1:6">
      <c r="A2" s="32"/>
      <c r="B2" s="33"/>
      <c r="C2" s="33" t="s">
        <v>93</v>
      </c>
      <c r="D2" s="34"/>
      <c r="E2" s="34"/>
      <c r="F2" s="34"/>
    </row>
    <row r="3" spans="1:6">
      <c r="A3" s="32"/>
      <c r="B3" s="33"/>
      <c r="C3" s="33" t="s">
        <v>94</v>
      </c>
      <c r="D3" s="34"/>
      <c r="E3" s="34"/>
      <c r="F3" s="34"/>
    </row>
    <row r="4" spans="1:6">
      <c r="A4" s="32"/>
      <c r="B4" s="33"/>
      <c r="C4" s="33" t="s">
        <v>95</v>
      </c>
      <c r="D4" s="34"/>
      <c r="E4" s="34"/>
      <c r="F4" s="34"/>
    </row>
    <row r="5" spans="1:6">
      <c r="A5" s="32"/>
      <c r="B5" s="33"/>
      <c r="C5" s="33" t="s">
        <v>273</v>
      </c>
      <c r="D5" s="34"/>
      <c r="E5" s="34"/>
      <c r="F5" s="34"/>
    </row>
    <row r="6" spans="1:6" ht="13.5" thickBot="1">
      <c r="A6" s="32"/>
      <c r="B6" s="33"/>
      <c r="C6" s="33"/>
      <c r="D6" s="34"/>
      <c r="E6" s="34"/>
      <c r="F6" s="34"/>
    </row>
    <row r="7" spans="1:6">
      <c r="A7" s="32"/>
      <c r="B7" s="35"/>
      <c r="C7" s="36"/>
      <c r="D7" s="37"/>
      <c r="E7" s="38"/>
      <c r="F7" s="39"/>
    </row>
    <row r="8" spans="1:6">
      <c r="A8" s="32"/>
      <c r="B8" s="40"/>
      <c r="C8" s="41"/>
      <c r="D8" s="42"/>
      <c r="E8" s="43"/>
      <c r="F8" s="39"/>
    </row>
    <row r="9" spans="1:6">
      <c r="A9" s="32"/>
      <c r="B9" s="40"/>
      <c r="C9" s="41"/>
      <c r="D9" s="267">
        <v>43646</v>
      </c>
      <c r="E9" s="268">
        <v>44012</v>
      </c>
      <c r="F9" s="39"/>
    </row>
    <row r="10" spans="1:6" ht="13.5" thickBot="1">
      <c r="A10" s="32"/>
      <c r="B10" s="44"/>
      <c r="C10" s="45"/>
      <c r="D10" s="46"/>
      <c r="E10" s="47"/>
      <c r="F10" s="39"/>
    </row>
    <row r="11" spans="1:6">
      <c r="A11" s="32"/>
      <c r="B11" s="40"/>
      <c r="C11" s="41"/>
      <c r="D11" s="42"/>
      <c r="E11" s="43"/>
      <c r="F11" s="154"/>
    </row>
    <row r="12" spans="1:6">
      <c r="A12" s="32"/>
      <c r="B12" s="40"/>
      <c r="C12" s="41"/>
      <c r="D12" s="48"/>
      <c r="E12" s="49"/>
      <c r="F12" s="154"/>
    </row>
    <row r="13" spans="1:6">
      <c r="A13" s="32"/>
      <c r="B13" s="50" t="s">
        <v>96</v>
      </c>
      <c r="C13" s="51"/>
      <c r="D13" s="52">
        <v>85250449.269999996</v>
      </c>
      <c r="E13" s="53">
        <v>78566522.510000005</v>
      </c>
      <c r="F13" s="154"/>
    </row>
    <row r="14" spans="1:6">
      <c r="A14" s="32"/>
      <c r="B14" s="50"/>
      <c r="C14" s="51"/>
      <c r="D14" s="54"/>
      <c r="E14" s="55"/>
      <c r="F14" s="154"/>
    </row>
    <row r="15" spans="1:6">
      <c r="A15" s="32"/>
      <c r="B15" s="50"/>
      <c r="C15" s="51"/>
      <c r="D15" s="54"/>
      <c r="E15" s="55"/>
      <c r="F15" s="39"/>
    </row>
    <row r="16" spans="1:6" ht="13.5" thickBot="1">
      <c r="A16" s="32"/>
      <c r="B16" s="50"/>
      <c r="C16" s="51"/>
      <c r="D16" s="54"/>
      <c r="E16" s="55"/>
      <c r="F16" s="39"/>
    </row>
    <row r="17" spans="1:10">
      <c r="A17" s="32"/>
      <c r="B17" s="56"/>
      <c r="C17" s="57"/>
      <c r="D17" s="58"/>
      <c r="E17" s="59"/>
      <c r="F17" s="32"/>
    </row>
    <row r="18" spans="1:10">
      <c r="A18" s="32"/>
      <c r="B18" s="50" t="s">
        <v>97</v>
      </c>
      <c r="C18" s="51"/>
      <c r="D18" s="72">
        <f>SUM('Fundusz Gwarantowany:Generali ADW'!D35)</f>
        <v>11341179.939999996</v>
      </c>
      <c r="E18" s="72">
        <f>SUM('Fundusz Gwarantowany:Generali ADW'!E35)</f>
        <v>11148770.259999989</v>
      </c>
      <c r="F18" s="32"/>
    </row>
    <row r="19" spans="1:10">
      <c r="A19" s="32"/>
      <c r="B19" s="50"/>
      <c r="C19" s="51"/>
      <c r="D19" s="54"/>
      <c r="E19" s="55"/>
      <c r="F19" s="32"/>
    </row>
    <row r="20" spans="1:10" ht="13.5" thickBot="1">
      <c r="A20" s="32"/>
      <c r="B20" s="60"/>
      <c r="C20" s="61"/>
      <c r="D20" s="62"/>
      <c r="E20" s="63"/>
      <c r="F20" s="32"/>
      <c r="G20" s="71"/>
      <c r="H20" s="71"/>
      <c r="I20" s="71"/>
      <c r="J20" s="256"/>
    </row>
    <row r="21" spans="1:10">
      <c r="A21" s="32"/>
      <c r="B21" s="50"/>
      <c r="C21" s="51"/>
      <c r="D21" s="54"/>
      <c r="E21" s="55"/>
      <c r="F21" s="32"/>
      <c r="G21" s="71"/>
      <c r="H21" s="71"/>
      <c r="I21" s="71"/>
      <c r="J21" s="256"/>
    </row>
    <row r="22" spans="1:10">
      <c r="A22" s="32"/>
      <c r="B22" s="50"/>
      <c r="C22" s="51"/>
      <c r="D22" s="54"/>
      <c r="E22" s="55"/>
      <c r="F22" s="32"/>
      <c r="G22" s="71"/>
      <c r="H22" s="71"/>
      <c r="I22" s="71"/>
      <c r="J22" s="256"/>
    </row>
    <row r="23" spans="1:10">
      <c r="A23" s="32"/>
      <c r="B23" s="50" t="s">
        <v>98</v>
      </c>
      <c r="C23" s="51"/>
      <c r="D23" s="54">
        <f>D13-D18</f>
        <v>73909269.329999998</v>
      </c>
      <c r="E23" s="55">
        <f>E13-E18</f>
        <v>67417752.250000015</v>
      </c>
      <c r="F23" s="32"/>
      <c r="G23" s="71"/>
      <c r="H23" s="71"/>
      <c r="I23" s="71"/>
      <c r="J23" s="256"/>
    </row>
    <row r="24" spans="1:10">
      <c r="A24" s="32"/>
      <c r="B24" s="40"/>
      <c r="C24" s="41"/>
      <c r="D24" s="48"/>
      <c r="E24" s="49"/>
      <c r="F24" s="32"/>
      <c r="G24" s="71"/>
      <c r="H24" s="71"/>
      <c r="I24" s="71"/>
      <c r="J24" s="256"/>
    </row>
    <row r="25" spans="1:10">
      <c r="A25" s="32"/>
      <c r="B25" s="40"/>
      <c r="C25" s="41"/>
      <c r="D25" s="48"/>
      <c r="E25" s="49"/>
      <c r="F25" s="32"/>
      <c r="G25" s="71"/>
      <c r="H25" s="71"/>
      <c r="I25" s="71"/>
      <c r="J25" s="71"/>
    </row>
    <row r="26" spans="1:10" ht="13.5" thickBot="1">
      <c r="A26" s="32"/>
      <c r="B26" s="44"/>
      <c r="C26" s="45"/>
      <c r="D26" s="64"/>
      <c r="E26" s="65"/>
      <c r="F26" s="32"/>
    </row>
    <row r="28" spans="1:10">
      <c r="E28" s="67"/>
    </row>
    <row r="30" spans="1:10">
      <c r="D30" s="71"/>
      <c r="E30" s="71"/>
    </row>
    <row r="31" spans="1:10">
      <c r="D31" s="71"/>
      <c r="E31" s="71"/>
    </row>
    <row r="32" spans="1:10">
      <c r="D32" s="71"/>
      <c r="E32" s="71"/>
    </row>
    <row r="33" spans="4:5">
      <c r="D33" s="71"/>
      <c r="E33" s="71"/>
    </row>
    <row r="34" spans="4:5">
      <c r="D34" s="71"/>
      <c r="E34" s="71"/>
    </row>
    <row r="35" spans="4:5">
      <c r="D35" s="71"/>
      <c r="E35" s="71"/>
    </row>
    <row r="38" spans="4:5">
      <c r="E38" s="71"/>
    </row>
    <row r="39" spans="4:5">
      <c r="E39" s="71"/>
    </row>
    <row r="40" spans="4:5">
      <c r="E40" s="71"/>
    </row>
    <row r="41" spans="4:5">
      <c r="E41" s="71"/>
    </row>
    <row r="42" spans="4:5">
      <c r="E42" s="71"/>
    </row>
    <row r="43" spans="4:5">
      <c r="E43" s="71"/>
    </row>
    <row r="44" spans="4:5">
      <c r="E44" s="71"/>
    </row>
    <row r="45" spans="4:5">
      <c r="D45" s="71"/>
      <c r="E45" s="71"/>
    </row>
    <row r="46" spans="4:5">
      <c r="E46" s="71"/>
    </row>
    <row r="48" spans="4:5">
      <c r="E48" s="71"/>
    </row>
    <row r="49" spans="5:5">
      <c r="E49" s="71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L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21" customHeight="1">
      <c r="B5" s="350" t="s">
        <v>126</v>
      </c>
      <c r="C5" s="350"/>
      <c r="D5" s="350"/>
      <c r="E5" s="350"/>
    </row>
    <row r="6" spans="2:7" ht="14.25">
      <c r="B6" s="351" t="s">
        <v>143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127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5"/>
      <c r="C10" s="75" t="s">
        <v>2</v>
      </c>
      <c r="D10" s="70" t="s">
        <v>250</v>
      </c>
      <c r="E10" s="261" t="s">
        <v>264</v>
      </c>
    </row>
    <row r="11" spans="2:7">
      <c r="B11" s="89" t="s">
        <v>128</v>
      </c>
      <c r="C11" s="127" t="s">
        <v>109</v>
      </c>
      <c r="D11" s="228">
        <v>17084307.850000001</v>
      </c>
      <c r="E11" s="229">
        <f>SUM(E12:E14)</f>
        <v>16668967.529999999</v>
      </c>
    </row>
    <row r="12" spans="2:7">
      <c r="B12" s="105">
        <v>1</v>
      </c>
      <c r="C12" s="6" t="s">
        <v>5</v>
      </c>
      <c r="D12" s="245">
        <v>17067102.760000002</v>
      </c>
      <c r="E12" s="251">
        <f>15683114.66+980149.2-15570.74</f>
        <v>16647693.119999999</v>
      </c>
    </row>
    <row r="13" spans="2:7">
      <c r="B13" s="105">
        <v>2</v>
      </c>
      <c r="C13" s="68" t="s">
        <v>7</v>
      </c>
      <c r="D13" s="241">
        <v>4.26</v>
      </c>
      <c r="E13" s="252"/>
    </row>
    <row r="14" spans="2:7">
      <c r="B14" s="105">
        <v>3</v>
      </c>
      <c r="C14" s="68" t="s">
        <v>10</v>
      </c>
      <c r="D14" s="241">
        <v>17200.830000000002</v>
      </c>
      <c r="E14" s="252">
        <f>E15</f>
        <v>21274.41</v>
      </c>
    </row>
    <row r="15" spans="2:7">
      <c r="B15" s="105">
        <v>31</v>
      </c>
      <c r="C15" s="68" t="s">
        <v>11</v>
      </c>
      <c r="D15" s="241">
        <v>17200.830000000002</v>
      </c>
      <c r="E15" s="252">
        <v>21274.41</v>
      </c>
    </row>
    <row r="16" spans="2:7">
      <c r="B16" s="106">
        <v>32</v>
      </c>
      <c r="C16" s="90" t="s">
        <v>12</v>
      </c>
      <c r="D16" s="243"/>
      <c r="E16" s="253"/>
    </row>
    <row r="17" spans="2:12">
      <c r="B17" s="9" t="s">
        <v>129</v>
      </c>
      <c r="C17" s="11" t="s">
        <v>65</v>
      </c>
      <c r="D17" s="244">
        <v>21282.9</v>
      </c>
      <c r="E17" s="254">
        <f>E18</f>
        <v>17828.95</v>
      </c>
    </row>
    <row r="18" spans="2:12">
      <c r="B18" s="105">
        <v>1</v>
      </c>
      <c r="C18" s="6" t="s">
        <v>11</v>
      </c>
      <c r="D18" s="243">
        <v>21282.9</v>
      </c>
      <c r="E18" s="253">
        <v>17828.95</v>
      </c>
    </row>
    <row r="19" spans="2:12" ht="15" customHeight="1">
      <c r="B19" s="105">
        <v>2</v>
      </c>
      <c r="C19" s="68" t="s">
        <v>108</v>
      </c>
      <c r="D19" s="241"/>
      <c r="E19" s="252"/>
    </row>
    <row r="20" spans="2:12" ht="13.5" thickBot="1">
      <c r="B20" s="107">
        <v>3</v>
      </c>
      <c r="C20" s="69" t="s">
        <v>14</v>
      </c>
      <c r="D20" s="230"/>
      <c r="E20" s="231"/>
    </row>
    <row r="21" spans="2:12" ht="13.5" thickBot="1">
      <c r="B21" s="359" t="s">
        <v>130</v>
      </c>
      <c r="C21" s="360"/>
      <c r="D21" s="232">
        <v>17063024.950000003</v>
      </c>
      <c r="E21" s="147">
        <f>E11-E17</f>
        <v>16651138.58</v>
      </c>
      <c r="F21" s="76"/>
    </row>
    <row r="22" spans="2:12">
      <c r="B22" s="3"/>
      <c r="C22" s="7"/>
      <c r="D22" s="8"/>
      <c r="E22" s="8"/>
      <c r="L22" s="169"/>
    </row>
    <row r="23" spans="2:12" ht="13.5">
      <c r="B23" s="353" t="s">
        <v>131</v>
      </c>
      <c r="C23" s="361"/>
      <c r="D23" s="361"/>
      <c r="E23" s="361"/>
    </row>
    <row r="24" spans="2:12" ht="15.75" customHeight="1" thickBot="1">
      <c r="B24" s="352" t="s">
        <v>105</v>
      </c>
      <c r="C24" s="362"/>
      <c r="D24" s="362"/>
      <c r="E24" s="362"/>
    </row>
    <row r="25" spans="2:12" ht="13.5" thickBot="1">
      <c r="B25" s="85"/>
      <c r="C25" s="5" t="s">
        <v>2</v>
      </c>
      <c r="D25" s="70" t="s">
        <v>265</v>
      </c>
      <c r="E25" s="261" t="s">
        <v>264</v>
      </c>
    </row>
    <row r="26" spans="2:12">
      <c r="B26" s="94" t="s">
        <v>132</v>
      </c>
      <c r="C26" s="95" t="s">
        <v>16</v>
      </c>
      <c r="D26" s="318">
        <v>20425166.469999999</v>
      </c>
      <c r="E26" s="219">
        <f>D21</f>
        <v>17063024.950000003</v>
      </c>
    </row>
    <row r="27" spans="2:12">
      <c r="B27" s="9" t="s">
        <v>133</v>
      </c>
      <c r="C27" s="10" t="s">
        <v>111</v>
      </c>
      <c r="D27" s="319">
        <v>-2339580.17</v>
      </c>
      <c r="E27" s="292">
        <f>E28-E32</f>
        <v>-724286.46</v>
      </c>
      <c r="F27" s="71"/>
    </row>
    <row r="28" spans="2:12">
      <c r="B28" s="9" t="s">
        <v>127</v>
      </c>
      <c r="C28" s="10" t="s">
        <v>19</v>
      </c>
      <c r="D28" s="319">
        <v>606842.18999999994</v>
      </c>
      <c r="E28" s="293">
        <v>606303.22</v>
      </c>
      <c r="F28" s="71"/>
    </row>
    <row r="29" spans="2:12">
      <c r="B29" s="103">
        <v>1</v>
      </c>
      <c r="C29" s="6" t="s">
        <v>20</v>
      </c>
      <c r="D29" s="245">
        <v>606842.18999999994</v>
      </c>
      <c r="E29" s="295">
        <v>585186.49</v>
      </c>
      <c r="F29" s="71"/>
    </row>
    <row r="30" spans="2:12">
      <c r="B30" s="103">
        <v>2</v>
      </c>
      <c r="C30" s="6" t="s">
        <v>21</v>
      </c>
      <c r="D30" s="245"/>
      <c r="E30" s="295"/>
      <c r="F30" s="71"/>
    </row>
    <row r="31" spans="2:12">
      <c r="B31" s="103">
        <v>3</v>
      </c>
      <c r="C31" s="6" t="s">
        <v>22</v>
      </c>
      <c r="D31" s="245"/>
      <c r="E31" s="295">
        <v>21116.73</v>
      </c>
      <c r="F31" s="71"/>
    </row>
    <row r="32" spans="2:12">
      <c r="B32" s="91" t="s">
        <v>134</v>
      </c>
      <c r="C32" s="11" t="s">
        <v>24</v>
      </c>
      <c r="D32" s="319">
        <v>2946422.36</v>
      </c>
      <c r="E32" s="293">
        <f>SUM(E33:E39)</f>
        <v>1330589.68</v>
      </c>
      <c r="F32" s="71"/>
    </row>
    <row r="33" spans="2:6">
      <c r="B33" s="103">
        <v>1</v>
      </c>
      <c r="C33" s="6" t="s">
        <v>25</v>
      </c>
      <c r="D33" s="245">
        <v>2376833.29</v>
      </c>
      <c r="E33" s="295">
        <f>1150021.02-59891.67</f>
        <v>1090129.3500000001</v>
      </c>
      <c r="F33" s="71"/>
    </row>
    <row r="34" spans="2:6">
      <c r="B34" s="103">
        <v>2</v>
      </c>
      <c r="C34" s="6" t="s">
        <v>26</v>
      </c>
      <c r="D34" s="245"/>
      <c r="E34" s="295"/>
      <c r="F34" s="71"/>
    </row>
    <row r="35" spans="2:6">
      <c r="B35" s="103">
        <v>3</v>
      </c>
      <c r="C35" s="6" t="s">
        <v>27</v>
      </c>
      <c r="D35" s="245">
        <v>64632.46</v>
      </c>
      <c r="E35" s="295">
        <v>72148.42</v>
      </c>
      <c r="F35" s="71"/>
    </row>
    <row r="36" spans="2:6">
      <c r="B36" s="103">
        <v>4</v>
      </c>
      <c r="C36" s="6" t="s">
        <v>28</v>
      </c>
      <c r="D36" s="245"/>
      <c r="E36" s="295"/>
      <c r="F36" s="71"/>
    </row>
    <row r="37" spans="2:6" ht="25.5">
      <c r="B37" s="103">
        <v>5</v>
      </c>
      <c r="C37" s="6" t="s">
        <v>30</v>
      </c>
      <c r="D37" s="245">
        <v>154411.54999999999</v>
      </c>
      <c r="E37" s="295">
        <v>123980.78</v>
      </c>
      <c r="F37" s="71"/>
    </row>
    <row r="38" spans="2:6">
      <c r="B38" s="103">
        <v>6</v>
      </c>
      <c r="C38" s="6" t="s">
        <v>32</v>
      </c>
      <c r="D38" s="245"/>
      <c r="E38" s="295"/>
      <c r="F38" s="71"/>
    </row>
    <row r="39" spans="2:6">
      <c r="B39" s="104">
        <v>7</v>
      </c>
      <c r="C39" s="12" t="s">
        <v>34</v>
      </c>
      <c r="D39" s="320">
        <v>350545.06</v>
      </c>
      <c r="E39" s="297">
        <v>44331.13</v>
      </c>
      <c r="F39" s="71"/>
    </row>
    <row r="40" spans="2:6" ht="13.5" thickBot="1">
      <c r="B40" s="96" t="s">
        <v>135</v>
      </c>
      <c r="C40" s="97" t="s">
        <v>36</v>
      </c>
      <c r="D40" s="321">
        <v>847488.73</v>
      </c>
      <c r="E40" s="306">
        <v>312400.09000000003</v>
      </c>
    </row>
    <row r="41" spans="2:6" ht="13.5" thickBot="1">
      <c r="B41" s="98" t="s">
        <v>136</v>
      </c>
      <c r="C41" s="99" t="s">
        <v>38</v>
      </c>
      <c r="D41" s="232">
        <v>18933075.029999997</v>
      </c>
      <c r="E41" s="147">
        <f>E26+E27+E40</f>
        <v>16651138.580000002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137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127</v>
      </c>
      <c r="C46" s="30" t="s">
        <v>112</v>
      </c>
      <c r="D46" s="100"/>
      <c r="E46" s="28"/>
    </row>
    <row r="47" spans="2:6">
      <c r="B47" s="101">
        <v>1</v>
      </c>
      <c r="C47" s="15" t="s">
        <v>40</v>
      </c>
      <c r="D47" s="307">
        <v>155682.65416000001</v>
      </c>
      <c r="E47" s="73">
        <v>124326.6963</v>
      </c>
    </row>
    <row r="48" spans="2:6">
      <c r="B48" s="122">
        <v>2</v>
      </c>
      <c r="C48" s="22" t="s">
        <v>41</v>
      </c>
      <c r="D48" s="307">
        <v>138341.32116789927</v>
      </c>
      <c r="E48" s="308">
        <v>119095.63280000001</v>
      </c>
    </row>
    <row r="49" spans="2:5">
      <c r="B49" s="119" t="s">
        <v>134</v>
      </c>
      <c r="C49" s="123" t="s">
        <v>113</v>
      </c>
      <c r="D49" s="276"/>
      <c r="E49" s="124"/>
    </row>
    <row r="50" spans="2:5">
      <c r="B50" s="101">
        <v>1</v>
      </c>
      <c r="C50" s="15" t="s">
        <v>40</v>
      </c>
      <c r="D50" s="307">
        <v>131.197445090125</v>
      </c>
      <c r="E50" s="73">
        <v>137.24350000000001</v>
      </c>
    </row>
    <row r="51" spans="2:5">
      <c r="B51" s="101">
        <v>2</v>
      </c>
      <c r="C51" s="15" t="s">
        <v>114</v>
      </c>
      <c r="D51" s="307">
        <v>131.1311</v>
      </c>
      <c r="E51" s="342">
        <v>120.5645</v>
      </c>
    </row>
    <row r="52" spans="2:5" ht="12.75" customHeight="1">
      <c r="B52" s="101">
        <v>3</v>
      </c>
      <c r="C52" s="15" t="s">
        <v>115</v>
      </c>
      <c r="D52" s="307">
        <v>137.54490000000001</v>
      </c>
      <c r="E52" s="342">
        <v>141.68279999999999</v>
      </c>
    </row>
    <row r="53" spans="2:5" ht="13.5" thickBot="1">
      <c r="B53" s="102">
        <v>4</v>
      </c>
      <c r="C53" s="17" t="s">
        <v>41</v>
      </c>
      <c r="D53" s="205">
        <v>136.85769999999999</v>
      </c>
      <c r="E53" s="309">
        <v>139.81319999999999</v>
      </c>
    </row>
    <row r="54" spans="2:5">
      <c r="B54" s="108"/>
      <c r="C54" s="109"/>
      <c r="D54" s="110"/>
      <c r="E54" s="110"/>
    </row>
    <row r="55" spans="2:5" ht="13.5">
      <c r="B55" s="354" t="s">
        <v>138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127</v>
      </c>
      <c r="C58" s="125" t="s">
        <v>43</v>
      </c>
      <c r="D58" s="126">
        <f>SUM(D59:D70)</f>
        <v>16647693.119999999</v>
      </c>
      <c r="E58" s="31">
        <f>D58/E21</f>
        <v>0.99979307961534003</v>
      </c>
    </row>
    <row r="59" spans="2:5" ht="25.5">
      <c r="B59" s="21">
        <v>1</v>
      </c>
      <c r="C59" s="22" t="s">
        <v>44</v>
      </c>
      <c r="D59" s="79">
        <v>0</v>
      </c>
      <c r="E59" s="80">
        <v>0</v>
      </c>
    </row>
    <row r="60" spans="2:5" ht="24" customHeight="1">
      <c r="B60" s="14">
        <v>2</v>
      </c>
      <c r="C60" s="15" t="s">
        <v>45</v>
      </c>
      <c r="D60" s="77">
        <v>0</v>
      </c>
      <c r="E60" s="78">
        <v>0</v>
      </c>
    </row>
    <row r="61" spans="2:5">
      <c r="B61" s="14">
        <v>3</v>
      </c>
      <c r="C61" s="15" t="s">
        <v>46</v>
      </c>
      <c r="D61" s="77">
        <v>0</v>
      </c>
      <c r="E61" s="78">
        <v>0</v>
      </c>
    </row>
    <row r="62" spans="2:5">
      <c r="B62" s="14">
        <v>4</v>
      </c>
      <c r="C62" s="15" t="s">
        <v>47</v>
      </c>
      <c r="D62" s="77">
        <v>0</v>
      </c>
      <c r="E62" s="78">
        <v>0</v>
      </c>
    </row>
    <row r="63" spans="2:5">
      <c r="B63" s="14">
        <v>5</v>
      </c>
      <c r="C63" s="15" t="s">
        <v>48</v>
      </c>
      <c r="D63" s="77">
        <v>0</v>
      </c>
      <c r="E63" s="78">
        <v>0</v>
      </c>
    </row>
    <row r="64" spans="2:5">
      <c r="B64" s="21">
        <v>6</v>
      </c>
      <c r="C64" s="22" t="s">
        <v>49</v>
      </c>
      <c r="D64" s="238">
        <f>15683114.66-15570.74</f>
        <v>15667543.92</v>
      </c>
      <c r="E64" s="80">
        <f>D64/E21</f>
        <v>0.94092928508916418</v>
      </c>
    </row>
    <row r="65" spans="2:5">
      <c r="B65" s="21">
        <v>7</v>
      </c>
      <c r="C65" s="22" t="s">
        <v>118</v>
      </c>
      <c r="D65" s="79">
        <v>0</v>
      </c>
      <c r="E65" s="80">
        <v>0</v>
      </c>
    </row>
    <row r="66" spans="2:5">
      <c r="B66" s="21">
        <v>8</v>
      </c>
      <c r="C66" s="22" t="s">
        <v>51</v>
      </c>
      <c r="D66" s="79">
        <v>0</v>
      </c>
      <c r="E66" s="80">
        <v>0</v>
      </c>
    </row>
    <row r="67" spans="2:5">
      <c r="B67" s="14">
        <v>9</v>
      </c>
      <c r="C67" s="15" t="s">
        <v>53</v>
      </c>
      <c r="D67" s="77">
        <v>0</v>
      </c>
      <c r="E67" s="78">
        <v>0</v>
      </c>
    </row>
    <row r="68" spans="2:5">
      <c r="B68" s="14">
        <v>10</v>
      </c>
      <c r="C68" s="15" t="s">
        <v>55</v>
      </c>
      <c r="D68" s="77">
        <v>0</v>
      </c>
      <c r="E68" s="78">
        <v>0</v>
      </c>
    </row>
    <row r="69" spans="2:5">
      <c r="B69" s="14">
        <v>11</v>
      </c>
      <c r="C69" s="15" t="s">
        <v>57</v>
      </c>
      <c r="D69" s="246">
        <v>980149.2</v>
      </c>
      <c r="E69" s="78">
        <f>D69/E21</f>
        <v>5.8863794526175878E-2</v>
      </c>
    </row>
    <row r="70" spans="2:5">
      <c r="B70" s="111">
        <v>12</v>
      </c>
      <c r="C70" s="112" t="s">
        <v>59</v>
      </c>
      <c r="D70" s="113">
        <v>0</v>
      </c>
      <c r="E70" s="114">
        <v>0</v>
      </c>
    </row>
    <row r="71" spans="2:5">
      <c r="B71" s="119" t="s">
        <v>134</v>
      </c>
      <c r="C71" s="120" t="s">
        <v>61</v>
      </c>
      <c r="D71" s="121">
        <f>E13</f>
        <v>0</v>
      </c>
      <c r="E71" s="66">
        <f>D71/E21</f>
        <v>0</v>
      </c>
    </row>
    <row r="72" spans="2:5">
      <c r="B72" s="115" t="s">
        <v>137</v>
      </c>
      <c r="C72" s="116" t="s">
        <v>63</v>
      </c>
      <c r="D72" s="117">
        <f>E14</f>
        <v>21274.41</v>
      </c>
      <c r="E72" s="118">
        <f>D72/E21</f>
        <v>1.2776549722283315E-3</v>
      </c>
    </row>
    <row r="73" spans="2:5">
      <c r="B73" s="23" t="s">
        <v>138</v>
      </c>
      <c r="C73" s="24" t="s">
        <v>65</v>
      </c>
      <c r="D73" s="25">
        <f>E17</f>
        <v>17828.95</v>
      </c>
      <c r="E73" s="26">
        <f>D73/E21</f>
        <v>1.0707345875683655E-3</v>
      </c>
    </row>
    <row r="74" spans="2:5">
      <c r="B74" s="119" t="s">
        <v>139</v>
      </c>
      <c r="C74" s="120" t="s">
        <v>66</v>
      </c>
      <c r="D74" s="121">
        <f>D58+D71+D72-D73</f>
        <v>16651138.58</v>
      </c>
      <c r="E74" s="66">
        <f>E58+E72-E73</f>
        <v>1</v>
      </c>
    </row>
    <row r="75" spans="2:5">
      <c r="B75" s="14">
        <v>1</v>
      </c>
      <c r="C75" s="15" t="s">
        <v>67</v>
      </c>
      <c r="D75" s="77">
        <f>D74</f>
        <v>16651138.58</v>
      </c>
      <c r="E75" s="78">
        <f>E74</f>
        <v>1</v>
      </c>
    </row>
    <row r="76" spans="2:5">
      <c r="B76" s="14">
        <v>2</v>
      </c>
      <c r="C76" s="15" t="s">
        <v>119</v>
      </c>
      <c r="D76" s="77">
        <v>0</v>
      </c>
      <c r="E76" s="78">
        <v>0</v>
      </c>
    </row>
    <row r="77" spans="2:5" ht="13.5" thickBot="1">
      <c r="B77" s="16">
        <v>3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G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86"/>
      <c r="C4" s="86"/>
      <c r="D4" s="86"/>
      <c r="E4" s="86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144</v>
      </c>
      <c r="C6" s="351"/>
      <c r="D6" s="351"/>
      <c r="E6" s="351"/>
    </row>
    <row r="7" spans="2:5" ht="14.25">
      <c r="B7" s="88"/>
      <c r="C7" s="88"/>
      <c r="D7" s="88"/>
      <c r="E7" s="8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87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13513088.439999999</v>
      </c>
      <c r="E11" s="229">
        <f>SUM(E12:E14)</f>
        <v>10413020</v>
      </c>
    </row>
    <row r="12" spans="2:5">
      <c r="B12" s="105" t="s">
        <v>4</v>
      </c>
      <c r="C12" s="6" t="s">
        <v>5</v>
      </c>
      <c r="D12" s="245">
        <v>13513015.959999999</v>
      </c>
      <c r="E12" s="251">
        <f>9109763.41+1312579.05-9322.46</f>
        <v>10413020</v>
      </c>
    </row>
    <row r="13" spans="2:5">
      <c r="B13" s="105" t="s">
        <v>6</v>
      </c>
      <c r="C13" s="68" t="s">
        <v>7</v>
      </c>
      <c r="D13" s="241"/>
      <c r="E13" s="252"/>
    </row>
    <row r="14" spans="2:5">
      <c r="B14" s="105" t="s">
        <v>8</v>
      </c>
      <c r="C14" s="68" t="s">
        <v>10</v>
      </c>
      <c r="D14" s="241">
        <v>72.48</v>
      </c>
      <c r="E14" s="252"/>
    </row>
    <row r="15" spans="2:5">
      <c r="B15" s="105" t="s">
        <v>106</v>
      </c>
      <c r="C15" s="68" t="s">
        <v>11</v>
      </c>
      <c r="D15" s="241">
        <v>72.48</v>
      </c>
      <c r="E15" s="252"/>
    </row>
    <row r="16" spans="2:5">
      <c r="B16" s="106" t="s">
        <v>107</v>
      </c>
      <c r="C16" s="90" t="s">
        <v>12</v>
      </c>
      <c r="D16" s="243"/>
      <c r="E16" s="253"/>
    </row>
    <row r="17" spans="2:7">
      <c r="B17" s="9" t="s">
        <v>13</v>
      </c>
      <c r="C17" s="11" t="s">
        <v>65</v>
      </c>
      <c r="D17" s="244">
        <v>641551.92000000004</v>
      </c>
      <c r="E17" s="254">
        <f>E18</f>
        <v>67930.080000000002</v>
      </c>
    </row>
    <row r="18" spans="2:7">
      <c r="B18" s="105" t="s">
        <v>4</v>
      </c>
      <c r="C18" s="6" t="s">
        <v>11</v>
      </c>
      <c r="D18" s="243">
        <v>641551.92000000004</v>
      </c>
      <c r="E18" s="253">
        <v>67930.080000000002</v>
      </c>
    </row>
    <row r="19" spans="2:7" ht="15" customHeight="1">
      <c r="B19" s="105" t="s">
        <v>6</v>
      </c>
      <c r="C19" s="68" t="s">
        <v>108</v>
      </c>
      <c r="D19" s="241"/>
      <c r="E19" s="252"/>
    </row>
    <row r="20" spans="2:7" ht="13.5" thickBot="1">
      <c r="B20" s="107" t="s">
        <v>8</v>
      </c>
      <c r="C20" s="69" t="s">
        <v>14</v>
      </c>
      <c r="D20" s="230"/>
      <c r="E20" s="231"/>
    </row>
    <row r="21" spans="2:7" ht="13.5" thickBot="1">
      <c r="B21" s="359" t="s">
        <v>110</v>
      </c>
      <c r="C21" s="360"/>
      <c r="D21" s="232">
        <v>12871536.52</v>
      </c>
      <c r="E21" s="147">
        <f>E11-E17</f>
        <v>10345089.92</v>
      </c>
      <c r="F21" s="76"/>
      <c r="G21" s="169"/>
    </row>
    <row r="22" spans="2:7">
      <c r="B22" s="3"/>
      <c r="C22" s="7"/>
      <c r="D22" s="8"/>
      <c r="E22" s="8"/>
    </row>
    <row r="23" spans="2:7" ht="13.5">
      <c r="B23" s="353" t="s">
        <v>104</v>
      </c>
      <c r="C23" s="361"/>
      <c r="D23" s="361"/>
      <c r="E23" s="361"/>
    </row>
    <row r="24" spans="2:7" ht="15.75" customHeight="1" thickBot="1">
      <c r="B24" s="352" t="s">
        <v>105</v>
      </c>
      <c r="C24" s="362"/>
      <c r="D24" s="362"/>
      <c r="E24" s="362"/>
    </row>
    <row r="25" spans="2:7" ht="13.5" thickBot="1">
      <c r="B25" s="87"/>
      <c r="C25" s="5" t="s">
        <v>2</v>
      </c>
      <c r="D25" s="70" t="s">
        <v>265</v>
      </c>
      <c r="E25" s="261" t="s">
        <v>264</v>
      </c>
    </row>
    <row r="26" spans="2:7">
      <c r="B26" s="94" t="s">
        <v>15</v>
      </c>
      <c r="C26" s="95" t="s">
        <v>16</v>
      </c>
      <c r="D26" s="197">
        <v>22444889.860000003</v>
      </c>
      <c r="E26" s="219">
        <f>D21</f>
        <v>12871536.52</v>
      </c>
    </row>
    <row r="27" spans="2:7">
      <c r="B27" s="9" t="s">
        <v>17</v>
      </c>
      <c r="C27" s="10" t="s">
        <v>111</v>
      </c>
      <c r="D27" s="198">
        <v>-6080334.5099999998</v>
      </c>
      <c r="E27" s="292">
        <f>E28-E32</f>
        <v>-1891513.71</v>
      </c>
      <c r="F27" s="71"/>
    </row>
    <row r="28" spans="2:7">
      <c r="B28" s="9" t="s">
        <v>18</v>
      </c>
      <c r="C28" s="10" t="s">
        <v>19</v>
      </c>
      <c r="D28" s="198">
        <v>454712.89</v>
      </c>
      <c r="E28" s="293">
        <v>45980.13</v>
      </c>
      <c r="F28" s="71"/>
    </row>
    <row r="29" spans="2:7">
      <c r="B29" s="103" t="s">
        <v>4</v>
      </c>
      <c r="C29" s="6" t="s">
        <v>20</v>
      </c>
      <c r="D29" s="199"/>
      <c r="E29" s="295">
        <v>0</v>
      </c>
      <c r="F29" s="71"/>
    </row>
    <row r="30" spans="2:7">
      <c r="B30" s="103" t="s">
        <v>6</v>
      </c>
      <c r="C30" s="6" t="s">
        <v>21</v>
      </c>
      <c r="D30" s="199"/>
      <c r="E30" s="295"/>
      <c r="F30" s="71"/>
    </row>
    <row r="31" spans="2:7">
      <c r="B31" s="103" t="s">
        <v>8</v>
      </c>
      <c r="C31" s="6" t="s">
        <v>22</v>
      </c>
      <c r="D31" s="199">
        <v>454712.89</v>
      </c>
      <c r="E31" s="295">
        <v>45980.13</v>
      </c>
      <c r="F31" s="71"/>
    </row>
    <row r="32" spans="2:7">
      <c r="B32" s="91" t="s">
        <v>23</v>
      </c>
      <c r="C32" s="11" t="s">
        <v>24</v>
      </c>
      <c r="D32" s="198">
        <v>6535047.3999999994</v>
      </c>
      <c r="E32" s="293">
        <f>SUM(E33:E39)</f>
        <v>1937493.8399999999</v>
      </c>
      <c r="F32" s="71"/>
    </row>
    <row r="33" spans="2:6">
      <c r="B33" s="103" t="s">
        <v>4</v>
      </c>
      <c r="C33" s="6" t="s">
        <v>25</v>
      </c>
      <c r="D33" s="199">
        <v>5869139.0999999996</v>
      </c>
      <c r="E33" s="295">
        <f>1743905.46+9322.46</f>
        <v>1753227.92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28305.67</v>
      </c>
      <c r="E35" s="295">
        <v>42356.7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206579.37</v>
      </c>
      <c r="E37" s="295">
        <v>101875.04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431023.26</v>
      </c>
      <c r="E39" s="297">
        <v>40034.18</v>
      </c>
      <c r="F39" s="71"/>
    </row>
    <row r="40" spans="2:6" ht="13.5" thickBot="1">
      <c r="B40" s="96" t="s">
        <v>35</v>
      </c>
      <c r="C40" s="97" t="s">
        <v>36</v>
      </c>
      <c r="D40" s="201">
        <v>3537285.02</v>
      </c>
      <c r="E40" s="306">
        <v>-634932.89</v>
      </c>
    </row>
    <row r="41" spans="2:6" ht="13.5" thickBot="1">
      <c r="B41" s="98" t="s">
        <v>37</v>
      </c>
      <c r="C41" s="99" t="s">
        <v>38</v>
      </c>
      <c r="D41" s="202">
        <v>19901840.370000005</v>
      </c>
      <c r="E41" s="147">
        <f>E26+E27+E40</f>
        <v>10345089.919999998</v>
      </c>
      <c r="F41" s="76"/>
    </row>
    <row r="42" spans="2:6">
      <c r="B42" s="92"/>
      <c r="C42" s="92"/>
      <c r="D42" s="93"/>
      <c r="E42" s="275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183473.75649999999</v>
      </c>
      <c r="E47" s="73">
        <v>84057.901100000003</v>
      </c>
    </row>
    <row r="48" spans="2:6">
      <c r="B48" s="122" t="s">
        <v>6</v>
      </c>
      <c r="C48" s="22" t="s">
        <v>41</v>
      </c>
      <c r="D48" s="203">
        <v>139392.0061</v>
      </c>
      <c r="E48" s="316">
        <v>71199.510500000004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122.33297169124</v>
      </c>
      <c r="E50" s="73">
        <v>153.12700000000001</v>
      </c>
    </row>
    <row r="51" spans="2:5">
      <c r="B51" s="101" t="s">
        <v>6</v>
      </c>
      <c r="C51" s="15" t="s">
        <v>114</v>
      </c>
      <c r="D51" s="203">
        <v>121.8511</v>
      </c>
      <c r="E51" s="342">
        <v>108.3224</v>
      </c>
    </row>
    <row r="52" spans="2:5" ht="12" customHeight="1">
      <c r="B52" s="101" t="s">
        <v>8</v>
      </c>
      <c r="C52" s="15" t="s">
        <v>115</v>
      </c>
      <c r="D52" s="203">
        <v>148.61439999999999</v>
      </c>
      <c r="E52" s="342">
        <v>158.6712</v>
      </c>
    </row>
    <row r="53" spans="2:5" ht="13.5" thickBot="1">
      <c r="B53" s="102" t="s">
        <v>9</v>
      </c>
      <c r="C53" s="17" t="s">
        <v>41</v>
      </c>
      <c r="D53" s="205">
        <v>142.77610000000001</v>
      </c>
      <c r="E53" s="309">
        <v>145.2972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10413020</v>
      </c>
      <c r="E58" s="31">
        <f>D58/E21</f>
        <v>1.0065664078829002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f>9109763.41-9322.46</f>
        <v>9100440.9499999993</v>
      </c>
      <c r="E64" s="80">
        <f>D64/E21</f>
        <v>0.87968698390975408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1312579.05</v>
      </c>
      <c r="E69" s="78">
        <f>D69/E21</f>
        <v>0.12687942397314611</v>
      </c>
    </row>
    <row r="70" spans="2:5">
      <c r="B70" s="111" t="s">
        <v>58</v>
      </c>
      <c r="C70" s="112" t="s">
        <v>59</v>
      </c>
      <c r="D70" s="77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0</v>
      </c>
      <c r="E72" s="118">
        <f>D72/E21</f>
        <v>0</v>
      </c>
    </row>
    <row r="73" spans="2:5">
      <c r="B73" s="23" t="s">
        <v>62</v>
      </c>
      <c r="C73" s="24" t="s">
        <v>65</v>
      </c>
      <c r="D73" s="25">
        <f>E17</f>
        <v>67930.080000000002</v>
      </c>
      <c r="E73" s="26">
        <f>D73/E21</f>
        <v>6.5664078829002579E-3</v>
      </c>
    </row>
    <row r="74" spans="2:5">
      <c r="B74" s="119" t="s">
        <v>64</v>
      </c>
      <c r="C74" s="120" t="s">
        <v>66</v>
      </c>
      <c r="D74" s="121">
        <f>D58+D71+D72-D73</f>
        <v>10345089.92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7">
        <f>D74-D76</f>
        <v>9015082.7899999991</v>
      </c>
      <c r="E75" s="78">
        <f>D75/E21</f>
        <v>0.87143590434833063</v>
      </c>
    </row>
    <row r="76" spans="2:5">
      <c r="B76" s="14" t="s">
        <v>6</v>
      </c>
      <c r="C76" s="15" t="s">
        <v>119</v>
      </c>
      <c r="D76" s="77">
        <v>1330007.1300000001</v>
      </c>
      <c r="E76" s="78">
        <f>D76/E21</f>
        <v>0.12856409565166932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145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1755347.36</v>
      </c>
      <c r="E11" s="229">
        <f>SUM(E12:E14)</f>
        <v>1342527</v>
      </c>
    </row>
    <row r="12" spans="2:7">
      <c r="B12" s="105" t="s">
        <v>4</v>
      </c>
      <c r="C12" s="6" t="s">
        <v>5</v>
      </c>
      <c r="D12" s="245">
        <v>1755347.36</v>
      </c>
      <c r="E12" s="251">
        <f>1222034.59+124775.19-4282.78</f>
        <v>1342527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6614.72</v>
      </c>
      <c r="E17" s="254">
        <f>E18</f>
        <v>8789.16</v>
      </c>
    </row>
    <row r="18" spans="2:6">
      <c r="B18" s="105" t="s">
        <v>4</v>
      </c>
      <c r="C18" s="6" t="s">
        <v>11</v>
      </c>
      <c r="D18" s="243">
        <v>6614.72</v>
      </c>
      <c r="E18" s="253">
        <v>8789.16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1748732.6400000001</v>
      </c>
      <c r="E21" s="147">
        <f>E11-E17</f>
        <v>1333737.8400000001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318">
        <v>2746608.3899999997</v>
      </c>
      <c r="E26" s="219">
        <f>D21</f>
        <v>1748732.6400000001</v>
      </c>
    </row>
    <row r="27" spans="2:6">
      <c r="B27" s="9" t="s">
        <v>17</v>
      </c>
      <c r="C27" s="10" t="s">
        <v>111</v>
      </c>
      <c r="D27" s="319">
        <v>-413630.26000000007</v>
      </c>
      <c r="E27" s="292">
        <f>E28-E32</f>
        <v>-203919.28000000003</v>
      </c>
      <c r="F27" s="71"/>
    </row>
    <row r="28" spans="2:6">
      <c r="B28" s="9" t="s">
        <v>18</v>
      </c>
      <c r="C28" s="10" t="s">
        <v>19</v>
      </c>
      <c r="D28" s="319">
        <v>31059.35</v>
      </c>
      <c r="E28" s="293">
        <v>0</v>
      </c>
      <c r="F28" s="71"/>
    </row>
    <row r="29" spans="2:6">
      <c r="B29" s="103" t="s">
        <v>4</v>
      </c>
      <c r="C29" s="6" t="s">
        <v>20</v>
      </c>
      <c r="D29" s="245"/>
      <c r="E29" s="295"/>
      <c r="F29" s="71"/>
    </row>
    <row r="30" spans="2:6">
      <c r="B30" s="103" t="s">
        <v>6</v>
      </c>
      <c r="C30" s="6" t="s">
        <v>21</v>
      </c>
      <c r="D30" s="245"/>
      <c r="E30" s="295"/>
      <c r="F30" s="71"/>
    </row>
    <row r="31" spans="2:6">
      <c r="B31" s="103" t="s">
        <v>8</v>
      </c>
      <c r="C31" s="6" t="s">
        <v>22</v>
      </c>
      <c r="D31" s="245">
        <v>31059.35</v>
      </c>
      <c r="E31" s="295"/>
      <c r="F31" s="71"/>
    </row>
    <row r="32" spans="2:6">
      <c r="B32" s="91" t="s">
        <v>23</v>
      </c>
      <c r="C32" s="11" t="s">
        <v>24</v>
      </c>
      <c r="D32" s="319">
        <v>444689.61000000004</v>
      </c>
      <c r="E32" s="293">
        <f>SUM(E33:E39)</f>
        <v>203919.28000000003</v>
      </c>
      <c r="F32" s="71"/>
    </row>
    <row r="33" spans="2:6">
      <c r="B33" s="103" t="s">
        <v>4</v>
      </c>
      <c r="C33" s="6" t="s">
        <v>25</v>
      </c>
      <c r="D33" s="245">
        <v>397514.77</v>
      </c>
      <c r="E33" s="295">
        <f>176301.2+4282.78</f>
        <v>180583.98</v>
      </c>
      <c r="F33" s="71"/>
    </row>
    <row r="34" spans="2:6">
      <c r="B34" s="103" t="s">
        <v>6</v>
      </c>
      <c r="C34" s="6" t="s">
        <v>26</v>
      </c>
      <c r="D34" s="245"/>
      <c r="E34" s="295"/>
      <c r="F34" s="71"/>
    </row>
    <row r="35" spans="2:6">
      <c r="B35" s="103" t="s">
        <v>8</v>
      </c>
      <c r="C35" s="6" t="s">
        <v>27</v>
      </c>
      <c r="D35" s="245">
        <v>5635.45</v>
      </c>
      <c r="E35" s="295">
        <v>9442.66</v>
      </c>
      <c r="F35" s="71"/>
    </row>
    <row r="36" spans="2:6">
      <c r="B36" s="103" t="s">
        <v>9</v>
      </c>
      <c r="C36" s="6" t="s">
        <v>28</v>
      </c>
      <c r="D36" s="245"/>
      <c r="E36" s="295"/>
      <c r="F36" s="71"/>
    </row>
    <row r="37" spans="2:6" ht="25.5">
      <c r="B37" s="103" t="s">
        <v>29</v>
      </c>
      <c r="C37" s="6" t="s">
        <v>30</v>
      </c>
      <c r="D37" s="245">
        <v>25849.38</v>
      </c>
      <c r="E37" s="295">
        <v>13892.64</v>
      </c>
      <c r="F37" s="71"/>
    </row>
    <row r="38" spans="2:6">
      <c r="B38" s="103" t="s">
        <v>31</v>
      </c>
      <c r="C38" s="6" t="s">
        <v>32</v>
      </c>
      <c r="D38" s="245"/>
      <c r="E38" s="295"/>
      <c r="F38" s="71"/>
    </row>
    <row r="39" spans="2:6">
      <c r="B39" s="104" t="s">
        <v>33</v>
      </c>
      <c r="C39" s="12" t="s">
        <v>34</v>
      </c>
      <c r="D39" s="320">
        <v>15690.01</v>
      </c>
      <c r="E39" s="297"/>
      <c r="F39" s="71"/>
    </row>
    <row r="40" spans="2:6" ht="13.5" thickBot="1">
      <c r="B40" s="96" t="s">
        <v>35</v>
      </c>
      <c r="C40" s="97" t="s">
        <v>36</v>
      </c>
      <c r="D40" s="321">
        <v>221595.56</v>
      </c>
      <c r="E40" s="306">
        <v>-211075.52</v>
      </c>
    </row>
    <row r="41" spans="2:6" ht="13.5" thickBot="1">
      <c r="B41" s="98" t="s">
        <v>37</v>
      </c>
      <c r="C41" s="99" t="s">
        <v>38</v>
      </c>
      <c r="D41" s="232">
        <v>2554573.6899999995</v>
      </c>
      <c r="E41" s="147">
        <f>E26+E27+E40</f>
        <v>1333737.8400000001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307">
        <v>26010.744999999999</v>
      </c>
      <c r="E47" s="73">
        <v>14932.1675</v>
      </c>
    </row>
    <row r="48" spans="2:6">
      <c r="B48" s="122" t="s">
        <v>6</v>
      </c>
      <c r="C48" s="22" t="s">
        <v>41</v>
      </c>
      <c r="D48" s="307">
        <v>22344.292799999999</v>
      </c>
      <c r="E48" s="316">
        <v>12994.743899999999</v>
      </c>
    </row>
    <row r="49" spans="2:5">
      <c r="B49" s="119" t="s">
        <v>23</v>
      </c>
      <c r="C49" s="123" t="s">
        <v>113</v>
      </c>
      <c r="D49" s="322"/>
      <c r="E49" s="124"/>
    </row>
    <row r="50" spans="2:5">
      <c r="B50" s="101" t="s">
        <v>4</v>
      </c>
      <c r="C50" s="15" t="s">
        <v>40</v>
      </c>
      <c r="D50" s="307">
        <v>105.595145006419</v>
      </c>
      <c r="E50" s="73">
        <v>117.1118</v>
      </c>
    </row>
    <row r="51" spans="2:5">
      <c r="B51" s="101" t="s">
        <v>6</v>
      </c>
      <c r="C51" s="15" t="s">
        <v>114</v>
      </c>
      <c r="D51" s="307">
        <v>104.73520000000001</v>
      </c>
      <c r="E51" s="342">
        <v>79.812299999999993</v>
      </c>
    </row>
    <row r="52" spans="2:5">
      <c r="B52" s="101" t="s">
        <v>8</v>
      </c>
      <c r="C52" s="15" t="s">
        <v>115</v>
      </c>
      <c r="D52" s="307">
        <v>117.62260000000001</v>
      </c>
      <c r="E52" s="342">
        <v>119.30629999999999</v>
      </c>
    </row>
    <row r="53" spans="2:5" ht="12.75" customHeight="1" thickBot="1">
      <c r="B53" s="102" t="s">
        <v>9</v>
      </c>
      <c r="C53" s="17" t="s">
        <v>41</v>
      </c>
      <c r="D53" s="205">
        <v>114.3278</v>
      </c>
      <c r="E53" s="309">
        <v>102.6367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1342527</v>
      </c>
      <c r="E58" s="31">
        <f>D58/E21</f>
        <v>1.0065898707650072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5.5">
      <c r="B60" s="14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f>1222034.59-4282.78</f>
        <v>1217751.81</v>
      </c>
      <c r="E64" s="80">
        <f>D64/E21</f>
        <v>0.9130368603772987</v>
      </c>
    </row>
    <row r="65" spans="2:5">
      <c r="B65" s="21" t="s">
        <v>33</v>
      </c>
      <c r="C65" s="22" t="s">
        <v>118</v>
      </c>
      <c r="D65" s="79"/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124775.19</v>
      </c>
      <c r="E69" s="78">
        <f>D69/E21</f>
        <v>9.3553010387708579E-2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f>D71/E21</f>
        <v>0</v>
      </c>
    </row>
    <row r="72" spans="2:5">
      <c r="B72" s="115" t="s">
        <v>60</v>
      </c>
      <c r="C72" s="116" t="s">
        <v>63</v>
      </c>
      <c r="D72" s="117">
        <f>E14</f>
        <v>0</v>
      </c>
      <c r="E72" s="118">
        <f>D72/E21</f>
        <v>0</v>
      </c>
    </row>
    <row r="73" spans="2:5">
      <c r="B73" s="23" t="s">
        <v>62</v>
      </c>
      <c r="C73" s="24" t="s">
        <v>65</v>
      </c>
      <c r="D73" s="25">
        <f>E17</f>
        <v>8789.16</v>
      </c>
      <c r="E73" s="26">
        <f>D73/E21</f>
        <v>6.5898707650073112E-3</v>
      </c>
    </row>
    <row r="74" spans="2:5">
      <c r="B74" s="119" t="s">
        <v>64</v>
      </c>
      <c r="C74" s="120" t="s">
        <v>66</v>
      </c>
      <c r="D74" s="121">
        <f>D58-D73+D71+D72</f>
        <v>1333737.8400000001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7">
        <f>D74-D76</f>
        <v>992177.77</v>
      </c>
      <c r="E75" s="78">
        <f>D75/E21</f>
        <v>0.7439076407999341</v>
      </c>
    </row>
    <row r="76" spans="2:5">
      <c r="B76" s="14" t="s">
        <v>6</v>
      </c>
      <c r="C76" s="15" t="s">
        <v>119</v>
      </c>
      <c r="D76" s="77">
        <v>341560.07</v>
      </c>
      <c r="E76" s="78">
        <f>D76/E21</f>
        <v>0.2560923592000659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I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 customHeight="1">
      <c r="B6" s="351" t="s">
        <v>146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6778575.1400000006</v>
      </c>
      <c r="E11" s="229">
        <f>SUM(E12:E14)</f>
        <v>4912134.37</v>
      </c>
    </row>
    <row r="12" spans="2:7">
      <c r="B12" s="105" t="s">
        <v>4</v>
      </c>
      <c r="C12" s="6" t="s">
        <v>5</v>
      </c>
      <c r="D12" s="245">
        <v>6778531.4900000012</v>
      </c>
      <c r="E12" s="251">
        <f>4172184.21+744503.49-4553.33</f>
        <v>4912134.37</v>
      </c>
    </row>
    <row r="13" spans="2:7">
      <c r="B13" s="105" t="s">
        <v>6</v>
      </c>
      <c r="C13" s="68" t="s">
        <v>7</v>
      </c>
      <c r="D13" s="241">
        <v>41.97</v>
      </c>
      <c r="E13" s="252"/>
    </row>
    <row r="14" spans="2:7">
      <c r="B14" s="105" t="s">
        <v>8</v>
      </c>
      <c r="C14" s="68" t="s">
        <v>10</v>
      </c>
      <c r="D14" s="241">
        <v>1.68</v>
      </c>
      <c r="E14" s="252"/>
    </row>
    <row r="15" spans="2:7">
      <c r="B15" s="105" t="s">
        <v>106</v>
      </c>
      <c r="C15" s="68" t="s">
        <v>11</v>
      </c>
      <c r="D15" s="241">
        <v>1.68</v>
      </c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9">
      <c r="B17" s="9" t="s">
        <v>13</v>
      </c>
      <c r="C17" s="11" t="s">
        <v>65</v>
      </c>
      <c r="D17" s="244">
        <v>65537.87</v>
      </c>
      <c r="E17" s="254">
        <f>E18</f>
        <v>1219.43</v>
      </c>
    </row>
    <row r="18" spans="2:9">
      <c r="B18" s="105" t="s">
        <v>4</v>
      </c>
      <c r="C18" s="6" t="s">
        <v>11</v>
      </c>
      <c r="D18" s="243">
        <v>65537.87</v>
      </c>
      <c r="E18" s="253">
        <v>1219.43</v>
      </c>
    </row>
    <row r="19" spans="2:9" ht="15" customHeight="1">
      <c r="B19" s="105" t="s">
        <v>6</v>
      </c>
      <c r="C19" s="68" t="s">
        <v>108</v>
      </c>
      <c r="D19" s="241"/>
      <c r="E19" s="252"/>
    </row>
    <row r="20" spans="2:9" ht="13.5" thickBot="1">
      <c r="B20" s="107" t="s">
        <v>8</v>
      </c>
      <c r="C20" s="69" t="s">
        <v>14</v>
      </c>
      <c r="D20" s="230"/>
      <c r="E20" s="231"/>
    </row>
    <row r="21" spans="2:9" ht="13.5" thickBot="1">
      <c r="B21" s="359" t="s">
        <v>110</v>
      </c>
      <c r="C21" s="360"/>
      <c r="D21" s="232">
        <v>6713037.2700000005</v>
      </c>
      <c r="E21" s="147">
        <f>E11-E17</f>
        <v>4910914.9400000004</v>
      </c>
      <c r="F21" s="76"/>
      <c r="I21" s="169"/>
    </row>
    <row r="22" spans="2:9">
      <c r="B22" s="3"/>
      <c r="C22" s="7"/>
      <c r="D22" s="8"/>
      <c r="E22" s="8"/>
    </row>
    <row r="23" spans="2:9" ht="13.5">
      <c r="B23" s="353" t="s">
        <v>104</v>
      </c>
      <c r="C23" s="361"/>
      <c r="D23" s="361"/>
      <c r="E23" s="361"/>
    </row>
    <row r="24" spans="2:9" ht="15.75" customHeight="1" thickBot="1">
      <c r="B24" s="352" t="s">
        <v>105</v>
      </c>
      <c r="C24" s="362"/>
      <c r="D24" s="362"/>
      <c r="E24" s="362"/>
    </row>
    <row r="25" spans="2:9" ht="13.5" thickBot="1">
      <c r="B25" s="87"/>
      <c r="C25" s="5" t="s">
        <v>2</v>
      </c>
      <c r="D25" s="70" t="s">
        <v>265</v>
      </c>
      <c r="E25" s="261" t="s">
        <v>264</v>
      </c>
    </row>
    <row r="26" spans="2:9">
      <c r="B26" s="94" t="s">
        <v>15</v>
      </c>
      <c r="C26" s="95" t="s">
        <v>16</v>
      </c>
      <c r="D26" s="197">
        <v>12188495.310000001</v>
      </c>
      <c r="E26" s="219">
        <f>D21</f>
        <v>6713037.2700000005</v>
      </c>
    </row>
    <row r="27" spans="2:9">
      <c r="B27" s="9" t="s">
        <v>17</v>
      </c>
      <c r="C27" s="10" t="s">
        <v>111</v>
      </c>
      <c r="D27" s="198">
        <v>-1495034.7</v>
      </c>
      <c r="E27" s="292">
        <f>E28-E32</f>
        <v>-1256066.6500000001</v>
      </c>
      <c r="F27" s="71"/>
    </row>
    <row r="28" spans="2:9">
      <c r="B28" s="9" t="s">
        <v>18</v>
      </c>
      <c r="C28" s="10" t="s">
        <v>19</v>
      </c>
      <c r="D28" s="198">
        <v>52536.11</v>
      </c>
      <c r="E28" s="293">
        <v>0</v>
      </c>
      <c r="F28" s="71"/>
    </row>
    <row r="29" spans="2:9">
      <c r="B29" s="103" t="s">
        <v>4</v>
      </c>
      <c r="C29" s="6" t="s">
        <v>20</v>
      </c>
      <c r="D29" s="199"/>
      <c r="E29" s="295"/>
      <c r="F29" s="71"/>
    </row>
    <row r="30" spans="2:9">
      <c r="B30" s="103" t="s">
        <v>6</v>
      </c>
      <c r="C30" s="6" t="s">
        <v>21</v>
      </c>
      <c r="D30" s="199"/>
      <c r="E30" s="295"/>
      <c r="F30" s="71"/>
    </row>
    <row r="31" spans="2:9">
      <c r="B31" s="103" t="s">
        <v>8</v>
      </c>
      <c r="C31" s="6" t="s">
        <v>22</v>
      </c>
      <c r="D31" s="199">
        <v>52536.11</v>
      </c>
      <c r="E31" s="295"/>
      <c r="F31" s="71"/>
    </row>
    <row r="32" spans="2:9">
      <c r="B32" s="91" t="s">
        <v>23</v>
      </c>
      <c r="C32" s="11" t="s">
        <v>24</v>
      </c>
      <c r="D32" s="198">
        <v>1547570.81</v>
      </c>
      <c r="E32" s="293">
        <f>SUM(E33:E39)</f>
        <v>1256066.6500000001</v>
      </c>
      <c r="F32" s="71"/>
    </row>
    <row r="33" spans="2:6">
      <c r="B33" s="103" t="s">
        <v>4</v>
      </c>
      <c r="C33" s="6" t="s">
        <v>25</v>
      </c>
      <c r="D33" s="199">
        <v>1321800.21</v>
      </c>
      <c r="E33" s="295">
        <f>1211217.57-22550.56</f>
        <v>1188667.01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12257.97</v>
      </c>
      <c r="E35" s="295">
        <v>16768.810000000001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109785.88</v>
      </c>
      <c r="E37" s="295">
        <v>50630.83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103726.75</v>
      </c>
      <c r="E39" s="297"/>
      <c r="F39" s="71"/>
    </row>
    <row r="40" spans="2:6" ht="13.5" thickBot="1">
      <c r="B40" s="96" t="s">
        <v>35</v>
      </c>
      <c r="C40" s="97" t="s">
        <v>36</v>
      </c>
      <c r="D40" s="201">
        <v>700470.78</v>
      </c>
      <c r="E40" s="306">
        <v>-546055.68000000005</v>
      </c>
    </row>
    <row r="41" spans="2:6" ht="13.5" thickBot="1">
      <c r="B41" s="98" t="s">
        <v>37</v>
      </c>
      <c r="C41" s="99" t="s">
        <v>38</v>
      </c>
      <c r="D41" s="202">
        <v>11393931.390000001</v>
      </c>
      <c r="E41" s="147">
        <f>E26+E27+E40</f>
        <v>4910914.9400000004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113533.9915</v>
      </c>
      <c r="E47" s="73">
        <v>57812.837899999999</v>
      </c>
    </row>
    <row r="48" spans="2:6">
      <c r="B48" s="122" t="s">
        <v>6</v>
      </c>
      <c r="C48" s="22" t="s">
        <v>41</v>
      </c>
      <c r="D48" s="203">
        <v>100084.6963</v>
      </c>
      <c r="E48" s="316">
        <v>46408.108699999997</v>
      </c>
    </row>
    <row r="49" spans="2:5">
      <c r="B49" s="119" t="s">
        <v>23</v>
      </c>
      <c r="C49" s="123" t="s">
        <v>113</v>
      </c>
      <c r="D49" s="204"/>
      <c r="E49" s="124"/>
    </row>
    <row r="50" spans="2:5">
      <c r="B50" s="101" t="s">
        <v>4</v>
      </c>
      <c r="C50" s="15" t="s">
        <v>40</v>
      </c>
      <c r="D50" s="203">
        <v>107.355472567878</v>
      </c>
      <c r="E50" s="73">
        <v>116.11669999999999</v>
      </c>
    </row>
    <row r="51" spans="2:5">
      <c r="B51" s="101" t="s">
        <v>6</v>
      </c>
      <c r="C51" s="15" t="s">
        <v>114</v>
      </c>
      <c r="D51" s="203">
        <v>107.35550000000001</v>
      </c>
      <c r="E51" s="342">
        <v>96.997500000000002</v>
      </c>
    </row>
    <row r="52" spans="2:5">
      <c r="B52" s="101" t="s">
        <v>8</v>
      </c>
      <c r="C52" s="15" t="s">
        <v>115</v>
      </c>
      <c r="D52" s="203">
        <v>113.8429</v>
      </c>
      <c r="E52" s="342">
        <v>116.8227</v>
      </c>
    </row>
    <row r="53" spans="2:5" ht="13.5" customHeight="1" thickBot="1">
      <c r="B53" s="102" t="s">
        <v>9</v>
      </c>
      <c r="C53" s="17" t="s">
        <v>41</v>
      </c>
      <c r="D53" s="205">
        <v>113.8429</v>
      </c>
      <c r="E53" s="309">
        <v>105.8202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4912134.37</v>
      </c>
      <c r="E58" s="31">
        <f>D58/E21</f>
        <v>1.0002483101448301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238">
        <f>4172184.21-4553.33</f>
        <v>4167630.88</v>
      </c>
      <c r="E64" s="80">
        <f>D64/E21</f>
        <v>0.8486465212529215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46">
        <v>744503.49</v>
      </c>
      <c r="E69" s="78">
        <f>D69/E21</f>
        <v>0.15160178889190859</v>
      </c>
    </row>
    <row r="70" spans="2:5">
      <c r="B70" s="128" t="s">
        <v>58</v>
      </c>
      <c r="C70" s="112" t="s">
        <v>59</v>
      </c>
      <c r="D70" s="239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f>E13</f>
        <v>0</v>
      </c>
      <c r="E71" s="66">
        <f>D71/E21</f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f>D72/E21</f>
        <v>0</v>
      </c>
    </row>
    <row r="73" spans="2:5">
      <c r="B73" s="131" t="s">
        <v>62</v>
      </c>
      <c r="C73" s="24" t="s">
        <v>65</v>
      </c>
      <c r="D73" s="25">
        <f>E17</f>
        <v>1219.43</v>
      </c>
      <c r="E73" s="26">
        <f>D73/E21</f>
        <v>2.4831014483016068E-4</v>
      </c>
    </row>
    <row r="74" spans="2:5">
      <c r="B74" s="129" t="s">
        <v>64</v>
      </c>
      <c r="C74" s="120" t="s">
        <v>66</v>
      </c>
      <c r="D74" s="121">
        <f>D58-D73+D71+D72</f>
        <v>4910914.9400000004</v>
      </c>
      <c r="E74" s="66">
        <f>E58+E72-E73+E71</f>
        <v>0.99999999999999989</v>
      </c>
    </row>
    <row r="75" spans="2:5">
      <c r="B75" s="101" t="s">
        <v>4</v>
      </c>
      <c r="C75" s="15" t="s">
        <v>67</v>
      </c>
      <c r="D75" s="77">
        <f>D74</f>
        <v>4910914.9400000004</v>
      </c>
      <c r="E75" s="78">
        <f>D75/E21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f>D76/E21</f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5.28515625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85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5"/>
      <c r="C10" s="75" t="s">
        <v>2</v>
      </c>
      <c r="D10" s="271" t="s">
        <v>250</v>
      </c>
      <c r="E10" s="270" t="s">
        <v>264</v>
      </c>
    </row>
    <row r="11" spans="2:7">
      <c r="B11" s="89" t="s">
        <v>3</v>
      </c>
      <c r="C11" s="190" t="s">
        <v>109</v>
      </c>
      <c r="D11" s="228">
        <f>SUM(D12:D14)</f>
        <v>170768562.52000001</v>
      </c>
      <c r="E11" s="229">
        <f>SUM(E12:E14)</f>
        <v>176838607.48000002</v>
      </c>
    </row>
    <row r="12" spans="2:7">
      <c r="B12" s="105" t="s">
        <v>4</v>
      </c>
      <c r="C12" s="191" t="s">
        <v>5</v>
      </c>
      <c r="D12" s="245">
        <f>175884744.37+100480.43-5785261.62</f>
        <v>170199963.18000001</v>
      </c>
      <c r="E12" s="251">
        <f>181796044.94+235605.43-5603425.04</f>
        <v>176428225.33000001</v>
      </c>
    </row>
    <row r="13" spans="2:7">
      <c r="B13" s="105" t="s">
        <v>6</v>
      </c>
      <c r="C13" s="191" t="s">
        <v>7</v>
      </c>
      <c r="D13" s="241"/>
      <c r="E13" s="252"/>
    </row>
    <row r="14" spans="2:7">
      <c r="B14" s="105" t="s">
        <v>8</v>
      </c>
      <c r="C14" s="191" t="s">
        <v>10</v>
      </c>
      <c r="D14" s="241">
        <f>D15</f>
        <v>568599.34</v>
      </c>
      <c r="E14" s="252">
        <f>E15</f>
        <v>410382.15</v>
      </c>
    </row>
    <row r="15" spans="2:7">
      <c r="B15" s="105" t="s">
        <v>106</v>
      </c>
      <c r="C15" s="191" t="s">
        <v>11</v>
      </c>
      <c r="D15" s="241">
        <v>568599.34</v>
      </c>
      <c r="E15" s="252">
        <v>410382.15</v>
      </c>
    </row>
    <row r="16" spans="2:7">
      <c r="B16" s="106" t="s">
        <v>107</v>
      </c>
      <c r="C16" s="192" t="s">
        <v>12</v>
      </c>
      <c r="D16" s="243"/>
      <c r="E16" s="253"/>
    </row>
    <row r="17" spans="2:6">
      <c r="B17" s="9" t="s">
        <v>13</v>
      </c>
      <c r="C17" s="193" t="s">
        <v>65</v>
      </c>
      <c r="D17" s="244">
        <f>D18</f>
        <v>519939.78</v>
      </c>
      <c r="E17" s="254">
        <f>E18</f>
        <v>232609.68</v>
      </c>
    </row>
    <row r="18" spans="2:6">
      <c r="B18" s="105" t="s">
        <v>4</v>
      </c>
      <c r="C18" s="191" t="s">
        <v>11</v>
      </c>
      <c r="D18" s="243">
        <v>519939.78</v>
      </c>
      <c r="E18" s="253">
        <v>232609.68</v>
      </c>
    </row>
    <row r="19" spans="2:6" ht="15" customHeight="1">
      <c r="B19" s="105" t="s">
        <v>6</v>
      </c>
      <c r="C19" s="191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f>D11-D17</f>
        <v>170248622.74000001</v>
      </c>
      <c r="E21" s="147">
        <f>E11-E17</f>
        <v>176605997.80000001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5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166979546.58000001</v>
      </c>
      <c r="E26" s="219">
        <f>D21</f>
        <v>170248622.74000001</v>
      </c>
    </row>
    <row r="27" spans="2:6">
      <c r="B27" s="9" t="s">
        <v>17</v>
      </c>
      <c r="C27" s="10" t="s">
        <v>111</v>
      </c>
      <c r="D27" s="198">
        <v>-1211193.589999998</v>
      </c>
      <c r="E27" s="292">
        <f>E28-E32</f>
        <v>-3249987.7800000012</v>
      </c>
      <c r="F27" s="71"/>
    </row>
    <row r="28" spans="2:6">
      <c r="B28" s="9" t="s">
        <v>18</v>
      </c>
      <c r="C28" s="10" t="s">
        <v>19</v>
      </c>
      <c r="D28" s="198">
        <v>11531641.98</v>
      </c>
      <c r="E28" s="293">
        <v>10504971.419999998</v>
      </c>
      <c r="F28" s="71"/>
    </row>
    <row r="29" spans="2:6">
      <c r="B29" s="103" t="s">
        <v>4</v>
      </c>
      <c r="C29" s="6" t="s">
        <v>20</v>
      </c>
      <c r="D29" s="199">
        <v>10412394.07</v>
      </c>
      <c r="E29" s="295">
        <v>9744527.7399999984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1119247.9099999999</v>
      </c>
      <c r="E31" s="295">
        <v>760443.68</v>
      </c>
      <c r="F31" s="71"/>
    </row>
    <row r="32" spans="2:6">
      <c r="B32" s="91" t="s">
        <v>23</v>
      </c>
      <c r="C32" s="11" t="s">
        <v>24</v>
      </c>
      <c r="D32" s="198">
        <v>12742835.569999998</v>
      </c>
      <c r="E32" s="293">
        <f>SUM(E33:E39)</f>
        <v>13754959.199999999</v>
      </c>
      <c r="F32" s="71"/>
    </row>
    <row r="33" spans="2:6">
      <c r="B33" s="103" t="s">
        <v>4</v>
      </c>
      <c r="C33" s="6" t="s">
        <v>25</v>
      </c>
      <c r="D33" s="199">
        <v>10280947.109999999</v>
      </c>
      <c r="E33" s="295">
        <f>8917494.19-181836.58</f>
        <v>8735657.6099999994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1869135.38</v>
      </c>
      <c r="E35" s="295">
        <v>1889698.6199999999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592753.07999999996</v>
      </c>
      <c r="E39" s="297">
        <v>3129602.97</v>
      </c>
      <c r="F39" s="71"/>
    </row>
    <row r="40" spans="2:6" ht="13.5" thickBot="1">
      <c r="B40" s="96" t="s">
        <v>35</v>
      </c>
      <c r="C40" s="97" t="s">
        <v>36</v>
      </c>
      <c r="D40" s="201">
        <v>7159209.9900000002</v>
      </c>
      <c r="E40" s="306">
        <v>9607362.8399999999</v>
      </c>
    </row>
    <row r="41" spans="2:6" ht="13.5" thickBot="1">
      <c r="B41" s="98" t="s">
        <v>37</v>
      </c>
      <c r="C41" s="99" t="s">
        <v>38</v>
      </c>
      <c r="D41" s="202">
        <v>172927562.98000002</v>
      </c>
      <c r="E41" s="147">
        <f>E26+E27+E40</f>
        <v>176605997.80000001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5.75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213"/>
      <c r="E46" s="28"/>
    </row>
    <row r="47" spans="2:6">
      <c r="B47" s="101" t="s">
        <v>4</v>
      </c>
      <c r="C47" s="15" t="s">
        <v>40</v>
      </c>
      <c r="D47" s="307">
        <v>8972178.9675999992</v>
      </c>
      <c r="E47" s="236">
        <v>8775867.4966000002</v>
      </c>
    </row>
    <row r="48" spans="2:6">
      <c r="B48" s="122" t="s">
        <v>6</v>
      </c>
      <c r="C48" s="22" t="s">
        <v>41</v>
      </c>
      <c r="D48" s="307">
        <v>8922668.5816301797</v>
      </c>
      <c r="E48" s="308">
        <v>8617792.8936999999</v>
      </c>
    </row>
    <row r="49" spans="2:5">
      <c r="B49" s="119" t="s">
        <v>23</v>
      </c>
      <c r="C49" s="123" t="s">
        <v>113</v>
      </c>
      <c r="D49" s="276"/>
      <c r="E49" s="273"/>
    </row>
    <row r="50" spans="2:5">
      <c r="B50" s="101" t="s">
        <v>4</v>
      </c>
      <c r="C50" s="15" t="s">
        <v>40</v>
      </c>
      <c r="D50" s="307">
        <v>18.610813179687199</v>
      </c>
      <c r="E50" s="236">
        <v>19.3996</v>
      </c>
    </row>
    <row r="51" spans="2:5">
      <c r="B51" s="101" t="s">
        <v>6</v>
      </c>
      <c r="C51" s="15" t="s">
        <v>114</v>
      </c>
      <c r="D51" s="307">
        <v>18.6022</v>
      </c>
      <c r="E51" s="220">
        <v>17.285799999999998</v>
      </c>
    </row>
    <row r="52" spans="2:5">
      <c r="B52" s="101" t="s">
        <v>8</v>
      </c>
      <c r="C52" s="15" t="s">
        <v>115</v>
      </c>
      <c r="D52" s="307">
        <v>19.596399999999999</v>
      </c>
      <c r="E52" s="220">
        <v>20.769400000000001</v>
      </c>
    </row>
    <row r="53" spans="2:5" ht="13.5" thickBot="1">
      <c r="B53" s="102" t="s">
        <v>9</v>
      </c>
      <c r="C53" s="17" t="s">
        <v>41</v>
      </c>
      <c r="D53" s="205">
        <v>19.380700000000001</v>
      </c>
      <c r="E53" s="309">
        <v>20.493200000000002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D64+D69</f>
        <v>176428225.33000001</v>
      </c>
      <c r="E58" s="31">
        <f>D58/E21</f>
        <v>0.99899339505897577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5.5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79">
        <f>181796044.94-5603425.04</f>
        <v>176192619.90000001</v>
      </c>
      <c r="E64" s="80">
        <f>D64/E21</f>
        <v>0.99765932128495349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39">
        <v>235605.43</v>
      </c>
      <c r="E69" s="78">
        <f>D69/E21</f>
        <v>1.3340737740221865E-3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410382.15</v>
      </c>
      <c r="E72" s="118">
        <f>D72/E21</f>
        <v>2.3237158143674325E-3</v>
      </c>
    </row>
    <row r="73" spans="2:5">
      <c r="B73" s="23" t="s">
        <v>62</v>
      </c>
      <c r="C73" s="24" t="s">
        <v>65</v>
      </c>
      <c r="D73" s="25">
        <f>E17</f>
        <v>232609.68</v>
      </c>
      <c r="E73" s="26">
        <f>D73/E21</f>
        <v>1.3171108733431702E-3</v>
      </c>
    </row>
    <row r="74" spans="2:5">
      <c r="B74" s="119" t="s">
        <v>64</v>
      </c>
      <c r="C74" s="120" t="s">
        <v>66</v>
      </c>
      <c r="D74" s="121">
        <f>D58+D71+D72-D73</f>
        <v>176605997.80000001</v>
      </c>
      <c r="E74" s="66">
        <f>E58+E72-E73</f>
        <v>1</v>
      </c>
    </row>
    <row r="75" spans="2:5">
      <c r="B75" s="14" t="s">
        <v>4</v>
      </c>
      <c r="C75" s="15" t="s">
        <v>67</v>
      </c>
      <c r="D75" s="77">
        <f>D74</f>
        <v>176605997.80000001</v>
      </c>
      <c r="E75" s="78">
        <f>E74</f>
        <v>1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F81"/>
  <sheetViews>
    <sheetView zoomScale="80" zoomScaleNormal="80" workbookViewId="0">
      <selection activeCell="H31" sqref="H3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6"/>
      <c r="C4" s="146"/>
      <c r="D4" s="146"/>
      <c r="E4" s="146"/>
    </row>
    <row r="5" spans="2:5" ht="14.25">
      <c r="B5" s="350" t="s">
        <v>1</v>
      </c>
      <c r="C5" s="350"/>
      <c r="D5" s="350"/>
      <c r="E5" s="350"/>
    </row>
    <row r="6" spans="2:5" ht="14.25">
      <c r="B6" s="351" t="s">
        <v>147</v>
      </c>
      <c r="C6" s="351"/>
      <c r="D6" s="351"/>
      <c r="E6" s="351"/>
    </row>
    <row r="7" spans="2:5" ht="14.25">
      <c r="B7" s="149"/>
      <c r="C7" s="149"/>
      <c r="D7" s="149"/>
      <c r="E7" s="149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50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f>SUM(D12:D14)</f>
        <v>74478.210000000006</v>
      </c>
      <c r="E11" s="229">
        <f>SUM(E12:E14)</f>
        <v>73197.790000000008</v>
      </c>
    </row>
    <row r="12" spans="2:5">
      <c r="B12" s="105" t="s">
        <v>4</v>
      </c>
      <c r="C12" s="6" t="s">
        <v>5</v>
      </c>
      <c r="D12" s="245">
        <f>67918.02+6560.19</f>
        <v>74478.210000000006</v>
      </c>
      <c r="E12" s="251">
        <f>67619.22+5578.57</f>
        <v>73197.790000000008</v>
      </c>
    </row>
    <row r="13" spans="2:5">
      <c r="B13" s="105" t="s">
        <v>6</v>
      </c>
      <c r="C13" s="68" t="s">
        <v>7</v>
      </c>
      <c r="D13" s="241"/>
      <c r="E13" s="252"/>
    </row>
    <row r="14" spans="2:5">
      <c r="B14" s="105" t="s">
        <v>8</v>
      </c>
      <c r="C14" s="68" t="s">
        <v>10</v>
      </c>
      <c r="D14" s="241"/>
      <c r="E14" s="252"/>
    </row>
    <row r="15" spans="2:5">
      <c r="B15" s="105" t="s">
        <v>106</v>
      </c>
      <c r="C15" s="68" t="s">
        <v>11</v>
      </c>
      <c r="D15" s="241"/>
      <c r="E15" s="252"/>
    </row>
    <row r="16" spans="2:5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f>D11-D17</f>
        <v>74478.210000000006</v>
      </c>
      <c r="E21" s="147">
        <f>E11-E17</f>
        <v>73197.790000000008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150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191426.72</v>
      </c>
      <c r="E26" s="219">
        <f>D21</f>
        <v>74478.210000000006</v>
      </c>
    </row>
    <row r="27" spans="2:6">
      <c r="B27" s="9" t="s">
        <v>17</v>
      </c>
      <c r="C27" s="10" t="s">
        <v>111</v>
      </c>
      <c r="D27" s="198">
        <v>-79445.990000000005</v>
      </c>
      <c r="E27" s="292">
        <f>E28-E32</f>
        <v>-992.63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79445.990000000005</v>
      </c>
      <c r="E32" s="293">
        <f>SUM(E33:E39)</f>
        <v>992.63</v>
      </c>
      <c r="F32" s="71"/>
    </row>
    <row r="33" spans="2:6">
      <c r="B33" s="103" t="s">
        <v>4</v>
      </c>
      <c r="C33" s="6" t="s">
        <v>25</v>
      </c>
      <c r="D33" s="199">
        <v>77279.06</v>
      </c>
      <c r="E33" s="295"/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728.33</v>
      </c>
      <c r="E35" s="295">
        <v>365.15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1438.6</v>
      </c>
      <c r="E37" s="295">
        <v>627.48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2156.21</v>
      </c>
      <c r="E40" s="306">
        <v>-287.79000000000002</v>
      </c>
    </row>
    <row r="41" spans="2:6" ht="13.5" thickBot="1">
      <c r="B41" s="98" t="s">
        <v>37</v>
      </c>
      <c r="C41" s="99" t="s">
        <v>38</v>
      </c>
      <c r="D41" s="202">
        <v>114136.94</v>
      </c>
      <c r="E41" s="147">
        <f>E26+E27+E40</f>
        <v>73197.790000000008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5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1806.508</v>
      </c>
      <c r="E47" s="73">
        <v>687.54060000000004</v>
      </c>
    </row>
    <row r="48" spans="2:6">
      <c r="B48" s="122" t="s">
        <v>6</v>
      </c>
      <c r="C48" s="22" t="s">
        <v>41</v>
      </c>
      <c r="D48" s="203">
        <v>1063.0523000000001</v>
      </c>
      <c r="E48" s="316">
        <v>678.32039999999995</v>
      </c>
    </row>
    <row r="49" spans="2:5">
      <c r="B49" s="119" t="s">
        <v>23</v>
      </c>
      <c r="C49" s="123" t="s">
        <v>113</v>
      </c>
      <c r="D49" s="204"/>
      <c r="E49" s="124"/>
    </row>
    <row r="50" spans="2:5">
      <c r="B50" s="101" t="s">
        <v>4</v>
      </c>
      <c r="C50" s="15" t="s">
        <v>40</v>
      </c>
      <c r="D50" s="203">
        <v>105.965055233633</v>
      </c>
      <c r="E50" s="73">
        <v>108.32550000000001</v>
      </c>
    </row>
    <row r="51" spans="2:5">
      <c r="B51" s="101" t="s">
        <v>6</v>
      </c>
      <c r="C51" s="15" t="s">
        <v>114</v>
      </c>
      <c r="D51" s="203">
        <v>105.96510000000001</v>
      </c>
      <c r="E51" s="342">
        <v>106.20189999999999</v>
      </c>
    </row>
    <row r="52" spans="2:5">
      <c r="B52" s="101" t="s">
        <v>8</v>
      </c>
      <c r="C52" s="15" t="s">
        <v>115</v>
      </c>
      <c r="D52" s="203">
        <v>107.41160000000001</v>
      </c>
      <c r="E52" s="342">
        <v>108.8254</v>
      </c>
    </row>
    <row r="53" spans="2:5" ht="13.5" thickBot="1">
      <c r="B53" s="102" t="s">
        <v>9</v>
      </c>
      <c r="C53" s="17" t="s">
        <v>41</v>
      </c>
      <c r="D53" s="205">
        <v>107.3672</v>
      </c>
      <c r="E53" s="309">
        <v>107.91030000000001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73197.790000000008</v>
      </c>
      <c r="E58" s="31">
        <f>D58/E21</f>
        <v>1</v>
      </c>
    </row>
    <row r="59" spans="2:5" ht="25.5">
      <c r="B59" s="122" t="s">
        <v>4</v>
      </c>
      <c r="C59" s="184" t="s">
        <v>44</v>
      </c>
      <c r="D59" s="79">
        <v>0</v>
      </c>
      <c r="E59" s="80">
        <v>0</v>
      </c>
    </row>
    <row r="60" spans="2:5" ht="25.5">
      <c r="B60" s="101" t="s">
        <v>6</v>
      </c>
      <c r="C60" s="182" t="s">
        <v>45</v>
      </c>
      <c r="D60" s="77">
        <v>0</v>
      </c>
      <c r="E60" s="78">
        <v>0</v>
      </c>
    </row>
    <row r="61" spans="2:5">
      <c r="B61" s="101" t="s">
        <v>8</v>
      </c>
      <c r="C61" s="182" t="s">
        <v>46</v>
      </c>
      <c r="D61" s="77">
        <v>0</v>
      </c>
      <c r="E61" s="78">
        <v>0</v>
      </c>
    </row>
    <row r="62" spans="2:5">
      <c r="B62" s="101" t="s">
        <v>9</v>
      </c>
      <c r="C62" s="182" t="s">
        <v>47</v>
      </c>
      <c r="D62" s="77">
        <v>0</v>
      </c>
      <c r="E62" s="78">
        <v>0</v>
      </c>
    </row>
    <row r="63" spans="2:5">
      <c r="B63" s="101" t="s">
        <v>29</v>
      </c>
      <c r="C63" s="182" t="s">
        <v>48</v>
      </c>
      <c r="D63" s="77">
        <v>0</v>
      </c>
      <c r="E63" s="78">
        <v>0</v>
      </c>
    </row>
    <row r="64" spans="2:5">
      <c r="B64" s="122" t="s">
        <v>31</v>
      </c>
      <c r="C64" s="184" t="s">
        <v>49</v>
      </c>
      <c r="D64" s="238">
        <v>67619.22</v>
      </c>
      <c r="E64" s="80">
        <f>D64/E21</f>
        <v>0.92378772637807771</v>
      </c>
    </row>
    <row r="65" spans="2:5">
      <c r="B65" s="122" t="s">
        <v>33</v>
      </c>
      <c r="C65" s="184" t="s">
        <v>118</v>
      </c>
      <c r="D65" s="79">
        <v>0</v>
      </c>
      <c r="E65" s="80">
        <v>0</v>
      </c>
    </row>
    <row r="66" spans="2:5">
      <c r="B66" s="122" t="s">
        <v>50</v>
      </c>
      <c r="C66" s="184" t="s">
        <v>51</v>
      </c>
      <c r="D66" s="79">
        <v>0</v>
      </c>
      <c r="E66" s="80">
        <v>0</v>
      </c>
    </row>
    <row r="67" spans="2:5">
      <c r="B67" s="101" t="s">
        <v>52</v>
      </c>
      <c r="C67" s="182" t="s">
        <v>53</v>
      </c>
      <c r="D67" s="77">
        <v>0</v>
      </c>
      <c r="E67" s="78">
        <v>0</v>
      </c>
    </row>
    <row r="68" spans="2:5">
      <c r="B68" s="101" t="s">
        <v>54</v>
      </c>
      <c r="C68" s="182" t="s">
        <v>55</v>
      </c>
      <c r="D68" s="77">
        <v>0</v>
      </c>
      <c r="E68" s="78">
        <v>0</v>
      </c>
    </row>
    <row r="69" spans="2:5">
      <c r="B69" s="101" t="s">
        <v>56</v>
      </c>
      <c r="C69" s="182" t="s">
        <v>57</v>
      </c>
      <c r="D69" s="246">
        <v>5578.57</v>
      </c>
      <c r="E69" s="78">
        <f>D69/E21</f>
        <v>7.6212273621922177E-2</v>
      </c>
    </row>
    <row r="70" spans="2:5">
      <c r="B70" s="128" t="s">
        <v>58</v>
      </c>
      <c r="C70" s="222" t="s">
        <v>59</v>
      </c>
      <c r="D70" s="239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73197.790000000008</v>
      </c>
      <c r="E74" s="66">
        <f>E58+E72-E73</f>
        <v>1</v>
      </c>
    </row>
    <row r="75" spans="2:5">
      <c r="B75" s="101" t="s">
        <v>4</v>
      </c>
      <c r="C75" s="182" t="s">
        <v>67</v>
      </c>
      <c r="D75" s="77">
        <f>D74</f>
        <v>73197.790000000008</v>
      </c>
      <c r="E75" s="78">
        <f>E74</f>
        <v>1</v>
      </c>
    </row>
    <row r="76" spans="2:5">
      <c r="B76" s="101" t="s">
        <v>6</v>
      </c>
      <c r="C76" s="182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86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148</v>
      </c>
      <c r="C6" s="351"/>
      <c r="D6" s="351"/>
      <c r="E6" s="351"/>
    </row>
    <row r="7" spans="2:7" ht="14.25">
      <c r="B7" s="163"/>
      <c r="C7" s="163"/>
      <c r="D7" s="163"/>
      <c r="E7" s="163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6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90" t="s">
        <v>109</v>
      </c>
      <c r="D11" s="228">
        <v>16673.87</v>
      </c>
      <c r="E11" s="229">
        <f>SUM(E12:E14)</f>
        <v>15765.74</v>
      </c>
    </row>
    <row r="12" spans="2:7">
      <c r="B12" s="105" t="s">
        <v>4</v>
      </c>
      <c r="C12" s="191" t="s">
        <v>5</v>
      </c>
      <c r="D12" s="245">
        <v>16673.87</v>
      </c>
      <c r="E12" s="251">
        <f>13908.93+1856.81</f>
        <v>15765.74</v>
      </c>
    </row>
    <row r="13" spans="2:7">
      <c r="B13" s="105" t="s">
        <v>6</v>
      </c>
      <c r="C13" s="191" t="s">
        <v>7</v>
      </c>
      <c r="D13" s="241"/>
      <c r="E13" s="252"/>
    </row>
    <row r="14" spans="2:7">
      <c r="B14" s="105" t="s">
        <v>8</v>
      </c>
      <c r="C14" s="191" t="s">
        <v>10</v>
      </c>
      <c r="D14" s="241"/>
      <c r="E14" s="252"/>
    </row>
    <row r="15" spans="2:7">
      <c r="B15" s="105" t="s">
        <v>106</v>
      </c>
      <c r="C15" s="191" t="s">
        <v>11</v>
      </c>
      <c r="D15" s="241"/>
      <c r="E15" s="252"/>
    </row>
    <row r="16" spans="2:7">
      <c r="B16" s="106" t="s">
        <v>107</v>
      </c>
      <c r="C16" s="192" t="s">
        <v>12</v>
      </c>
      <c r="D16" s="243"/>
      <c r="E16" s="253"/>
    </row>
    <row r="17" spans="2:6">
      <c r="B17" s="9" t="s">
        <v>13</v>
      </c>
      <c r="C17" s="193" t="s">
        <v>65</v>
      </c>
      <c r="D17" s="244"/>
      <c r="E17" s="254"/>
    </row>
    <row r="18" spans="2:6">
      <c r="B18" s="105" t="s">
        <v>4</v>
      </c>
      <c r="C18" s="191" t="s">
        <v>11</v>
      </c>
      <c r="D18" s="243"/>
      <c r="E18" s="253"/>
    </row>
    <row r="19" spans="2:6" ht="15" customHeight="1">
      <c r="B19" s="105" t="s">
        <v>6</v>
      </c>
      <c r="C19" s="191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16673.87</v>
      </c>
      <c r="E21" s="147">
        <f>E11-E17</f>
        <v>15765.74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164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14868.63</v>
      </c>
      <c r="E26" s="219">
        <f>D21</f>
        <v>16673.87</v>
      </c>
    </row>
    <row r="27" spans="2:6">
      <c r="B27" s="9" t="s">
        <v>17</v>
      </c>
      <c r="C27" s="10" t="s">
        <v>111</v>
      </c>
      <c r="D27" s="198">
        <v>-170.21</v>
      </c>
      <c r="E27" s="292">
        <f>E28-E32</f>
        <v>-171.75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170.21</v>
      </c>
      <c r="E32" s="293">
        <f>SUM(E33:E39)</f>
        <v>171.75</v>
      </c>
      <c r="F32" s="71"/>
    </row>
    <row r="33" spans="2:6">
      <c r="B33" s="103" t="s">
        <v>4</v>
      </c>
      <c r="C33" s="6" t="s">
        <v>25</v>
      </c>
      <c r="D33" s="199"/>
      <c r="E33" s="295"/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34.94</v>
      </c>
      <c r="E35" s="295">
        <v>37.520000000000003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135.27000000000001</v>
      </c>
      <c r="E37" s="295">
        <v>134.22999999999999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1609.36</v>
      </c>
      <c r="E40" s="306">
        <v>-736.38</v>
      </c>
    </row>
    <row r="41" spans="2:6" ht="13.5" thickBot="1">
      <c r="B41" s="98" t="s">
        <v>37</v>
      </c>
      <c r="C41" s="99" t="s">
        <v>38</v>
      </c>
      <c r="D41" s="202">
        <v>16307.78</v>
      </c>
      <c r="E41" s="147">
        <f>E26+E27+E40</f>
        <v>15765.74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64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144.68700000000001</v>
      </c>
      <c r="E47" s="73">
        <v>141.619</v>
      </c>
    </row>
    <row r="48" spans="2:6">
      <c r="B48" s="183" t="s">
        <v>6</v>
      </c>
      <c r="C48" s="184" t="s">
        <v>41</v>
      </c>
      <c r="D48" s="203">
        <v>143.1507</v>
      </c>
      <c r="E48" s="316">
        <v>140.0787</v>
      </c>
    </row>
    <row r="49" spans="2:5">
      <c r="B49" s="119" t="s">
        <v>23</v>
      </c>
      <c r="C49" s="123" t="s">
        <v>113</v>
      </c>
      <c r="D49" s="204"/>
      <c r="E49" s="124"/>
    </row>
    <row r="50" spans="2:5">
      <c r="B50" s="181" t="s">
        <v>4</v>
      </c>
      <c r="C50" s="182" t="s">
        <v>40</v>
      </c>
      <c r="D50" s="203">
        <v>102.764104584378</v>
      </c>
      <c r="E50" s="73">
        <v>117.7375</v>
      </c>
    </row>
    <row r="51" spans="2:5">
      <c r="B51" s="181" t="s">
        <v>6</v>
      </c>
      <c r="C51" s="182" t="s">
        <v>114</v>
      </c>
      <c r="D51" s="203">
        <v>102.7641</v>
      </c>
      <c r="E51" s="337">
        <v>95.770600000000002</v>
      </c>
    </row>
    <row r="52" spans="2:5">
      <c r="B52" s="181" t="s">
        <v>8</v>
      </c>
      <c r="C52" s="182" t="s">
        <v>115</v>
      </c>
      <c r="D52" s="203">
        <v>114.8126</v>
      </c>
      <c r="E52" s="337">
        <v>120.9598</v>
      </c>
    </row>
    <row r="53" spans="2:5" ht="13.5" thickBot="1">
      <c r="B53" s="185" t="s">
        <v>9</v>
      </c>
      <c r="C53" s="186" t="s">
        <v>41</v>
      </c>
      <c r="D53" s="205">
        <v>113.9204</v>
      </c>
      <c r="E53" s="323">
        <v>112.5492</v>
      </c>
    </row>
    <row r="54" spans="2:5">
      <c r="B54" s="187"/>
      <c r="C54" s="188"/>
      <c r="D54" s="110"/>
      <c r="E54" s="110"/>
    </row>
    <row r="55" spans="2:5" ht="13.5">
      <c r="B55" s="354" t="s">
        <v>62</v>
      </c>
      <c r="C55" s="366"/>
      <c r="D55" s="366"/>
      <c r="E55" s="366"/>
    </row>
    <row r="56" spans="2:5" ht="14.25" thickBot="1">
      <c r="B56" s="352" t="s">
        <v>116</v>
      </c>
      <c r="C56" s="365"/>
      <c r="D56" s="365"/>
      <c r="E56" s="365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15765.74</v>
      </c>
      <c r="E58" s="31">
        <f>D58/E21</f>
        <v>1</v>
      </c>
    </row>
    <row r="59" spans="2:5" ht="25.5">
      <c r="B59" s="122" t="s">
        <v>4</v>
      </c>
      <c r="C59" s="184" t="s">
        <v>44</v>
      </c>
      <c r="D59" s="79">
        <v>0</v>
      </c>
      <c r="E59" s="80">
        <v>0</v>
      </c>
    </row>
    <row r="60" spans="2:5" ht="25.5">
      <c r="B60" s="101" t="s">
        <v>6</v>
      </c>
      <c r="C60" s="182" t="s">
        <v>45</v>
      </c>
      <c r="D60" s="77">
        <v>0</v>
      </c>
      <c r="E60" s="78">
        <v>0</v>
      </c>
    </row>
    <row r="61" spans="2:5">
      <c r="B61" s="101" t="s">
        <v>8</v>
      </c>
      <c r="C61" s="182" t="s">
        <v>46</v>
      </c>
      <c r="D61" s="77">
        <v>0</v>
      </c>
      <c r="E61" s="78">
        <v>0</v>
      </c>
    </row>
    <row r="62" spans="2:5">
      <c r="B62" s="101" t="s">
        <v>9</v>
      </c>
      <c r="C62" s="182" t="s">
        <v>47</v>
      </c>
      <c r="D62" s="77">
        <v>0</v>
      </c>
      <c r="E62" s="78">
        <v>0</v>
      </c>
    </row>
    <row r="63" spans="2:5">
      <c r="B63" s="101" t="s">
        <v>29</v>
      </c>
      <c r="C63" s="182" t="s">
        <v>48</v>
      </c>
      <c r="D63" s="77">
        <v>0</v>
      </c>
      <c r="E63" s="78">
        <v>0</v>
      </c>
    </row>
    <row r="64" spans="2:5">
      <c r="B64" s="122" t="s">
        <v>31</v>
      </c>
      <c r="C64" s="184" t="s">
        <v>49</v>
      </c>
      <c r="D64" s="238">
        <v>13908.93</v>
      </c>
      <c r="E64" s="80">
        <f>D64/E21</f>
        <v>0.88222500180771724</v>
      </c>
    </row>
    <row r="65" spans="2:5">
      <c r="B65" s="122" t="s">
        <v>33</v>
      </c>
      <c r="C65" s="184" t="s">
        <v>118</v>
      </c>
      <c r="D65" s="79">
        <v>0</v>
      </c>
      <c r="E65" s="80">
        <v>0</v>
      </c>
    </row>
    <row r="66" spans="2:5">
      <c r="B66" s="122" t="s">
        <v>50</v>
      </c>
      <c r="C66" s="184" t="s">
        <v>51</v>
      </c>
      <c r="D66" s="79">
        <v>0</v>
      </c>
      <c r="E66" s="80">
        <v>0</v>
      </c>
    </row>
    <row r="67" spans="2:5">
      <c r="B67" s="101" t="s">
        <v>52</v>
      </c>
      <c r="C67" s="182" t="s">
        <v>53</v>
      </c>
      <c r="D67" s="77">
        <v>0</v>
      </c>
      <c r="E67" s="78">
        <v>0</v>
      </c>
    </row>
    <row r="68" spans="2:5">
      <c r="B68" s="101" t="s">
        <v>54</v>
      </c>
      <c r="C68" s="182" t="s">
        <v>55</v>
      </c>
      <c r="D68" s="77">
        <v>0</v>
      </c>
      <c r="E68" s="78">
        <v>0</v>
      </c>
    </row>
    <row r="69" spans="2:5">
      <c r="B69" s="101" t="s">
        <v>56</v>
      </c>
      <c r="C69" s="182" t="s">
        <v>57</v>
      </c>
      <c r="D69" s="246">
        <v>1856.81</v>
      </c>
      <c r="E69" s="78">
        <f>D69/E21</f>
        <v>0.11777499819228276</v>
      </c>
    </row>
    <row r="70" spans="2:5">
      <c r="B70" s="128" t="s">
        <v>58</v>
      </c>
      <c r="C70" s="22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15765.74</v>
      </c>
      <c r="E74" s="66">
        <f>E58+E72-E73</f>
        <v>1</v>
      </c>
    </row>
    <row r="75" spans="2:5">
      <c r="B75" s="101" t="s">
        <v>4</v>
      </c>
      <c r="C75" s="182" t="s">
        <v>67</v>
      </c>
      <c r="D75" s="77">
        <f>D74</f>
        <v>15765.74</v>
      </c>
      <c r="E75" s="78">
        <f>E74</f>
        <v>1</v>
      </c>
    </row>
    <row r="76" spans="2:5">
      <c r="B76" s="101" t="s">
        <v>6</v>
      </c>
      <c r="C76" s="182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86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68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16985387.210000001</v>
      </c>
      <c r="E11" s="229">
        <f>SUM(E12:E14)</f>
        <v>16344546.119999999</v>
      </c>
    </row>
    <row r="12" spans="2:7">
      <c r="B12" s="105" t="s">
        <v>4</v>
      </c>
      <c r="C12" s="6" t="s">
        <v>5</v>
      </c>
      <c r="D12" s="245">
        <v>16978900.25</v>
      </c>
      <c r="E12" s="251">
        <f>16352050.02-11775.82</f>
        <v>16340274.199999999</v>
      </c>
    </row>
    <row r="13" spans="2:7">
      <c r="B13" s="105" t="s">
        <v>6</v>
      </c>
      <c r="C13" s="68" t="s">
        <v>7</v>
      </c>
      <c r="D13" s="241">
        <v>6486.96</v>
      </c>
      <c r="E13" s="252">
        <v>4271.92</v>
      </c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31223.11</v>
      </c>
      <c r="E17" s="254">
        <f>E18</f>
        <v>50070.84</v>
      </c>
    </row>
    <row r="18" spans="2:6">
      <c r="B18" s="105" t="s">
        <v>4</v>
      </c>
      <c r="C18" s="6" t="s">
        <v>11</v>
      </c>
      <c r="D18" s="243">
        <v>31223.11</v>
      </c>
      <c r="E18" s="253">
        <v>50070.84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16954164.100000001</v>
      </c>
      <c r="E21" s="147">
        <f>E11-E17</f>
        <v>16294475.279999999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18525775.870000005</v>
      </c>
      <c r="E26" s="219">
        <f>D21</f>
        <v>16954164.100000001</v>
      </c>
    </row>
    <row r="27" spans="2:6">
      <c r="B27" s="9" t="s">
        <v>17</v>
      </c>
      <c r="C27" s="10" t="s">
        <v>111</v>
      </c>
      <c r="D27" s="198">
        <v>-1297307.1500000001</v>
      </c>
      <c r="E27" s="292">
        <f>E28-E32</f>
        <v>-843646.07999999984</v>
      </c>
      <c r="F27" s="71"/>
    </row>
    <row r="28" spans="2:6">
      <c r="B28" s="9" t="s">
        <v>18</v>
      </c>
      <c r="C28" s="10" t="s">
        <v>19</v>
      </c>
      <c r="D28" s="198">
        <v>298975.48000000004</v>
      </c>
      <c r="E28" s="293">
        <f>SUM(E29:E31)</f>
        <v>293588.95</v>
      </c>
      <c r="F28" s="71"/>
    </row>
    <row r="29" spans="2:6">
      <c r="B29" s="103" t="s">
        <v>4</v>
      </c>
      <c r="C29" s="6" t="s">
        <v>20</v>
      </c>
      <c r="D29" s="199">
        <v>6849.4</v>
      </c>
      <c r="E29" s="295">
        <v>6151.92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292126.08000000002</v>
      </c>
      <c r="E31" s="295">
        <v>287437.03000000003</v>
      </c>
      <c r="F31" s="71"/>
    </row>
    <row r="32" spans="2:6">
      <c r="B32" s="91" t="s">
        <v>23</v>
      </c>
      <c r="C32" s="11" t="s">
        <v>24</v>
      </c>
      <c r="D32" s="198">
        <v>1596282.6300000001</v>
      </c>
      <c r="E32" s="293">
        <f>SUM(E33:E39)</f>
        <v>1137235.0299999998</v>
      </c>
      <c r="F32" s="71"/>
    </row>
    <row r="33" spans="2:6">
      <c r="B33" s="103" t="s">
        <v>4</v>
      </c>
      <c r="C33" s="6" t="s">
        <v>25</v>
      </c>
      <c r="D33" s="199">
        <v>1481424.4300000002</v>
      </c>
      <c r="E33" s="295">
        <f>1015115.34+134.82</f>
        <v>1015250.1599999999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18021.21</v>
      </c>
      <c r="E35" s="295">
        <v>18437.98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96836.99</v>
      </c>
      <c r="E39" s="297">
        <v>103546.89</v>
      </c>
      <c r="F39" s="71"/>
    </row>
    <row r="40" spans="2:6" ht="13.5" thickBot="1">
      <c r="B40" s="96" t="s">
        <v>35</v>
      </c>
      <c r="C40" s="97" t="s">
        <v>36</v>
      </c>
      <c r="D40" s="201">
        <v>128525.38</v>
      </c>
      <c r="E40" s="306">
        <v>183957.26</v>
      </c>
    </row>
    <row r="41" spans="2:6" ht="13.5" thickBot="1">
      <c r="B41" s="98" t="s">
        <v>37</v>
      </c>
      <c r="C41" s="99" t="s">
        <v>38</v>
      </c>
      <c r="D41" s="202">
        <v>17356994.100000005</v>
      </c>
      <c r="E41" s="147">
        <f>E26+E27+E40</f>
        <v>16294475.280000001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1422805.0834999999</v>
      </c>
      <c r="E47" s="73">
        <v>1294336.0936999999</v>
      </c>
    </row>
    <row r="48" spans="2:6">
      <c r="B48" s="122" t="s">
        <v>6</v>
      </c>
      <c r="C48" s="22" t="s">
        <v>41</v>
      </c>
      <c r="D48" s="203">
        <v>1323466.1679934121</v>
      </c>
      <c r="E48" s="73">
        <v>1229735.2053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13.0206</v>
      </c>
      <c r="E50" s="73">
        <v>13.098699999999999</v>
      </c>
    </row>
    <row r="51" spans="2:5">
      <c r="B51" s="101" t="s">
        <v>6</v>
      </c>
      <c r="C51" s="15" t="s">
        <v>114</v>
      </c>
      <c r="D51" s="203">
        <v>12.990399999999999</v>
      </c>
      <c r="E51" s="74">
        <v>12.7288</v>
      </c>
    </row>
    <row r="52" spans="2:5">
      <c r="B52" s="101" t="s">
        <v>8</v>
      </c>
      <c r="C52" s="15" t="s">
        <v>115</v>
      </c>
      <c r="D52" s="203">
        <v>13.1234</v>
      </c>
      <c r="E52" s="74">
        <v>13.274800000000001</v>
      </c>
    </row>
    <row r="53" spans="2:5" ht="13.5" customHeight="1" thickBot="1">
      <c r="B53" s="102" t="s">
        <v>9</v>
      </c>
      <c r="C53" s="17" t="s">
        <v>41</v>
      </c>
      <c r="D53" s="205">
        <v>13.114800000000001</v>
      </c>
      <c r="E53" s="309">
        <v>13.250400000000001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16340274.199999999</v>
      </c>
      <c r="E58" s="31">
        <f>D58/E21</f>
        <v>1.002810702352362</v>
      </c>
    </row>
    <row r="59" spans="2:5" ht="25.5">
      <c r="B59" s="183" t="s">
        <v>4</v>
      </c>
      <c r="C59" s="184" t="s">
        <v>44</v>
      </c>
      <c r="D59" s="79">
        <v>0</v>
      </c>
      <c r="E59" s="80">
        <v>0</v>
      </c>
    </row>
    <row r="60" spans="2:5" ht="25.5">
      <c r="B60" s="181" t="s">
        <v>6</v>
      </c>
      <c r="C60" s="182" t="s">
        <v>45</v>
      </c>
      <c r="D60" s="77">
        <v>0</v>
      </c>
      <c r="E60" s="78">
        <v>0</v>
      </c>
    </row>
    <row r="61" spans="2:5" ht="12.75" customHeight="1">
      <c r="B61" s="181" t="s">
        <v>8</v>
      </c>
      <c r="C61" s="182" t="s">
        <v>46</v>
      </c>
      <c r="D61" s="77">
        <v>0</v>
      </c>
      <c r="E61" s="78">
        <v>0</v>
      </c>
    </row>
    <row r="62" spans="2:5">
      <c r="B62" s="181" t="s">
        <v>9</v>
      </c>
      <c r="C62" s="182" t="s">
        <v>47</v>
      </c>
      <c r="D62" s="77">
        <v>0</v>
      </c>
      <c r="E62" s="78">
        <v>0</v>
      </c>
    </row>
    <row r="63" spans="2:5">
      <c r="B63" s="181" t="s">
        <v>29</v>
      </c>
      <c r="C63" s="182" t="s">
        <v>48</v>
      </c>
      <c r="D63" s="77">
        <v>0</v>
      </c>
      <c r="E63" s="78">
        <v>0</v>
      </c>
    </row>
    <row r="64" spans="2:5">
      <c r="B64" s="183" t="s">
        <v>31</v>
      </c>
      <c r="C64" s="184" t="s">
        <v>49</v>
      </c>
      <c r="D64" s="79">
        <f>16352050.02-11775.82</f>
        <v>16340274.199999999</v>
      </c>
      <c r="E64" s="80">
        <f>D64/E21</f>
        <v>1.002810702352362</v>
      </c>
    </row>
    <row r="65" spans="2:5">
      <c r="B65" s="183" t="s">
        <v>33</v>
      </c>
      <c r="C65" s="184" t="s">
        <v>118</v>
      </c>
      <c r="D65" s="79">
        <v>0</v>
      </c>
      <c r="E65" s="80">
        <v>0</v>
      </c>
    </row>
    <row r="66" spans="2:5">
      <c r="B66" s="183" t="s">
        <v>50</v>
      </c>
      <c r="C66" s="184" t="s">
        <v>51</v>
      </c>
      <c r="D66" s="79">
        <v>0</v>
      </c>
      <c r="E66" s="80">
        <v>0</v>
      </c>
    </row>
    <row r="67" spans="2:5">
      <c r="B67" s="181" t="s">
        <v>52</v>
      </c>
      <c r="C67" s="182" t="s">
        <v>53</v>
      </c>
      <c r="D67" s="77">
        <v>0</v>
      </c>
      <c r="E67" s="78">
        <v>0</v>
      </c>
    </row>
    <row r="68" spans="2:5">
      <c r="B68" s="181" t="s">
        <v>54</v>
      </c>
      <c r="C68" s="182" t="s">
        <v>55</v>
      </c>
      <c r="D68" s="77">
        <v>0</v>
      </c>
      <c r="E68" s="78">
        <v>0</v>
      </c>
    </row>
    <row r="69" spans="2:5">
      <c r="B69" s="181" t="s">
        <v>56</v>
      </c>
      <c r="C69" s="182" t="s">
        <v>57</v>
      </c>
      <c r="D69" s="239">
        <v>0</v>
      </c>
      <c r="E69" s="78">
        <v>0</v>
      </c>
    </row>
    <row r="70" spans="2:5">
      <c r="B70" s="223" t="s">
        <v>58</v>
      </c>
      <c r="C70" s="22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f>E13</f>
        <v>4271.92</v>
      </c>
      <c r="E71" s="66">
        <f>D71/E21</f>
        <v>2.6216984140897112E-4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50070.84</v>
      </c>
      <c r="E73" s="26">
        <f>D73/E21</f>
        <v>3.0728721937709428E-3</v>
      </c>
    </row>
    <row r="74" spans="2:5">
      <c r="B74" s="129" t="s">
        <v>64</v>
      </c>
      <c r="C74" s="120" t="s">
        <v>66</v>
      </c>
      <c r="D74" s="121">
        <f>D58+D71+D72-D73</f>
        <v>16294475.279999999</v>
      </c>
      <c r="E74" s="66">
        <f>E58+E71+E72-E73</f>
        <v>1</v>
      </c>
    </row>
    <row r="75" spans="2:5">
      <c r="B75" s="181" t="s">
        <v>4</v>
      </c>
      <c r="C75" s="182" t="s">
        <v>67</v>
      </c>
      <c r="D75" s="77">
        <f>D74</f>
        <v>16294475.279999999</v>
      </c>
      <c r="E75" s="78">
        <f>E74</f>
        <v>1</v>
      </c>
    </row>
    <row r="76" spans="2:5">
      <c r="B76" s="181" t="s">
        <v>6</v>
      </c>
      <c r="C76" s="182" t="s">
        <v>119</v>
      </c>
      <c r="D76" s="77">
        <v>0</v>
      </c>
      <c r="E76" s="78">
        <v>0</v>
      </c>
    </row>
    <row r="77" spans="2:5" ht="13.5" thickBot="1">
      <c r="B77" s="185" t="s">
        <v>8</v>
      </c>
      <c r="C77" s="186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69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105434245.45</v>
      </c>
      <c r="E11" s="229">
        <f>SUM(E12:E14)</f>
        <v>92438821.070000008</v>
      </c>
    </row>
    <row r="12" spans="2:7">
      <c r="B12" s="105" t="s">
        <v>4</v>
      </c>
      <c r="C12" s="6" t="s">
        <v>5</v>
      </c>
      <c r="D12" s="245">
        <v>105432298.09</v>
      </c>
      <c r="E12" s="251">
        <f>92514448.62-75627.55</f>
        <v>92438821.070000008</v>
      </c>
    </row>
    <row r="13" spans="2:7">
      <c r="B13" s="105" t="s">
        <v>6</v>
      </c>
      <c r="C13" s="68" t="s">
        <v>7</v>
      </c>
      <c r="D13" s="241">
        <v>1947.36</v>
      </c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307235.42</v>
      </c>
      <c r="E17" s="254">
        <f>E18</f>
        <v>261879.7</v>
      </c>
    </row>
    <row r="18" spans="2:6">
      <c r="B18" s="105" t="s">
        <v>4</v>
      </c>
      <c r="C18" s="6" t="s">
        <v>11</v>
      </c>
      <c r="D18" s="243">
        <v>307235.42</v>
      </c>
      <c r="E18" s="253">
        <v>261879.7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105127010.03</v>
      </c>
      <c r="E21" s="147">
        <f>E11-E17</f>
        <v>92176941.370000005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116897431.09</v>
      </c>
      <c r="E26" s="219">
        <f>D21</f>
        <v>105127010.03</v>
      </c>
    </row>
    <row r="27" spans="2:6">
      <c r="B27" s="9" t="s">
        <v>17</v>
      </c>
      <c r="C27" s="10" t="s">
        <v>111</v>
      </c>
      <c r="D27" s="198">
        <v>-8684858.7100000009</v>
      </c>
      <c r="E27" s="292">
        <f>E28-E32</f>
        <v>-4937438.7499999981</v>
      </c>
      <c r="F27" s="71"/>
    </row>
    <row r="28" spans="2:6">
      <c r="B28" s="9" t="s">
        <v>18</v>
      </c>
      <c r="C28" s="10" t="s">
        <v>19</v>
      </c>
      <c r="D28" s="198">
        <v>28491.82</v>
      </c>
      <c r="E28" s="293">
        <v>24434.86</v>
      </c>
      <c r="F28" s="71"/>
    </row>
    <row r="29" spans="2:6">
      <c r="B29" s="103" t="s">
        <v>4</v>
      </c>
      <c r="C29" s="6" t="s">
        <v>20</v>
      </c>
      <c r="D29" s="199">
        <v>28491.82</v>
      </c>
      <c r="E29" s="295">
        <v>24434.86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8713350.5300000012</v>
      </c>
      <c r="E32" s="293">
        <f>SUM(E33:E39)</f>
        <v>4961873.6099999985</v>
      </c>
      <c r="F32" s="71"/>
    </row>
    <row r="33" spans="2:6">
      <c r="B33" s="103" t="s">
        <v>4</v>
      </c>
      <c r="C33" s="6" t="s">
        <v>25</v>
      </c>
      <c r="D33" s="199">
        <v>8513168.8100000005</v>
      </c>
      <c r="E33" s="295">
        <f>4744179.55-39355.23</f>
        <v>4704824.3199999994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98862.75</v>
      </c>
      <c r="E35" s="295">
        <v>87407.77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101318.97</v>
      </c>
      <c r="E39" s="297">
        <v>169641.52</v>
      </c>
      <c r="F39" s="71"/>
    </row>
    <row r="40" spans="2:6" ht="13.5" thickBot="1">
      <c r="B40" s="96" t="s">
        <v>35</v>
      </c>
      <c r="C40" s="97" t="s">
        <v>36</v>
      </c>
      <c r="D40" s="201">
        <v>4067947.99</v>
      </c>
      <c r="E40" s="306">
        <v>-8012629.9100000001</v>
      </c>
    </row>
    <row r="41" spans="2:6" ht="13.5" thickBot="1">
      <c r="B41" s="98" t="s">
        <v>37</v>
      </c>
      <c r="C41" s="99" t="s">
        <v>38</v>
      </c>
      <c r="D41" s="202">
        <v>112280520.36999999</v>
      </c>
      <c r="E41" s="147">
        <f>E26+E27+E40</f>
        <v>92176941.370000005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11898562.88768</v>
      </c>
      <c r="E47" s="73">
        <v>10472691.497099999</v>
      </c>
    </row>
    <row r="48" spans="2:6">
      <c r="B48" s="122" t="s">
        <v>6</v>
      </c>
      <c r="C48" s="22" t="s">
        <v>41</v>
      </c>
      <c r="D48" s="203">
        <v>11038086.567178853</v>
      </c>
      <c r="E48" s="73">
        <v>9929818.0895000007</v>
      </c>
    </row>
    <row r="49" spans="2:5">
      <c r="B49" s="119" t="s">
        <v>23</v>
      </c>
      <c r="C49" s="123" t="s">
        <v>113</v>
      </c>
      <c r="D49" s="204"/>
      <c r="E49" s="73"/>
    </row>
    <row r="50" spans="2:5">
      <c r="B50" s="101" t="s">
        <v>4</v>
      </c>
      <c r="C50" s="15" t="s">
        <v>40</v>
      </c>
      <c r="D50" s="203">
        <v>9.8245000000000005</v>
      </c>
      <c r="E50" s="73">
        <v>10.0382</v>
      </c>
    </row>
    <row r="51" spans="2:5">
      <c r="B51" s="101" t="s">
        <v>6</v>
      </c>
      <c r="C51" s="15" t="s">
        <v>114</v>
      </c>
      <c r="D51" s="203">
        <v>9.7561</v>
      </c>
      <c r="E51" s="74">
        <v>7.9417</v>
      </c>
    </row>
    <row r="52" spans="2:5" ht="12.75" customHeight="1">
      <c r="B52" s="101" t="s">
        <v>8</v>
      </c>
      <c r="C52" s="15" t="s">
        <v>115</v>
      </c>
      <c r="D52" s="203">
        <v>10.277100000000001</v>
      </c>
      <c r="E52" s="74">
        <v>10.1409</v>
      </c>
    </row>
    <row r="53" spans="2:5" ht="13.5" thickBot="1">
      <c r="B53" s="102" t="s">
        <v>9</v>
      </c>
      <c r="C53" s="17" t="s">
        <v>41</v>
      </c>
      <c r="D53" s="205">
        <v>10.1721</v>
      </c>
      <c r="E53" s="309">
        <v>9.2827999999999999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92438821.070000008</v>
      </c>
      <c r="E58" s="31">
        <f>D58/E21</f>
        <v>1.0028410543472994</v>
      </c>
    </row>
    <row r="59" spans="2:5" ht="25.5">
      <c r="B59" s="183" t="s">
        <v>4</v>
      </c>
      <c r="C59" s="184" t="s">
        <v>44</v>
      </c>
      <c r="D59" s="79">
        <v>0</v>
      </c>
      <c r="E59" s="80">
        <v>0</v>
      </c>
    </row>
    <row r="60" spans="2:5" ht="24" customHeight="1">
      <c r="B60" s="181" t="s">
        <v>6</v>
      </c>
      <c r="C60" s="182" t="s">
        <v>45</v>
      </c>
      <c r="D60" s="77">
        <v>0</v>
      </c>
      <c r="E60" s="78">
        <v>0</v>
      </c>
    </row>
    <row r="61" spans="2:5">
      <c r="B61" s="181" t="s">
        <v>8</v>
      </c>
      <c r="C61" s="182" t="s">
        <v>46</v>
      </c>
      <c r="D61" s="77">
        <v>0</v>
      </c>
      <c r="E61" s="78">
        <v>0</v>
      </c>
    </row>
    <row r="62" spans="2:5">
      <c r="B62" s="181" t="s">
        <v>9</v>
      </c>
      <c r="C62" s="182" t="s">
        <v>47</v>
      </c>
      <c r="D62" s="77">
        <v>0</v>
      </c>
      <c r="E62" s="78">
        <v>0</v>
      </c>
    </row>
    <row r="63" spans="2:5">
      <c r="B63" s="181" t="s">
        <v>29</v>
      </c>
      <c r="C63" s="182" t="s">
        <v>48</v>
      </c>
      <c r="D63" s="77">
        <v>0</v>
      </c>
      <c r="E63" s="78">
        <v>0</v>
      </c>
    </row>
    <row r="64" spans="2:5">
      <c r="B64" s="183" t="s">
        <v>31</v>
      </c>
      <c r="C64" s="184" t="s">
        <v>49</v>
      </c>
      <c r="D64" s="79">
        <f>92514448.62-75627.55</f>
        <v>92438821.070000008</v>
      </c>
      <c r="E64" s="80">
        <f>D64/E21</f>
        <v>1.0028410543472994</v>
      </c>
    </row>
    <row r="65" spans="2:5">
      <c r="B65" s="183" t="s">
        <v>33</v>
      </c>
      <c r="C65" s="184" t="s">
        <v>118</v>
      </c>
      <c r="D65" s="79">
        <v>0</v>
      </c>
      <c r="E65" s="80">
        <v>0</v>
      </c>
    </row>
    <row r="66" spans="2:5">
      <c r="B66" s="183" t="s">
        <v>50</v>
      </c>
      <c r="C66" s="184" t="s">
        <v>51</v>
      </c>
      <c r="D66" s="79">
        <v>0</v>
      </c>
      <c r="E66" s="80">
        <v>0</v>
      </c>
    </row>
    <row r="67" spans="2:5">
      <c r="B67" s="181" t="s">
        <v>52</v>
      </c>
      <c r="C67" s="182" t="s">
        <v>53</v>
      </c>
      <c r="D67" s="77">
        <v>0</v>
      </c>
      <c r="E67" s="78">
        <v>0</v>
      </c>
    </row>
    <row r="68" spans="2:5">
      <c r="B68" s="181" t="s">
        <v>54</v>
      </c>
      <c r="C68" s="182" t="s">
        <v>55</v>
      </c>
      <c r="D68" s="77">
        <v>0</v>
      </c>
      <c r="E68" s="78">
        <v>0</v>
      </c>
    </row>
    <row r="69" spans="2:5">
      <c r="B69" s="181" t="s">
        <v>56</v>
      </c>
      <c r="C69" s="182" t="s">
        <v>57</v>
      </c>
      <c r="D69" s="239">
        <v>0</v>
      </c>
      <c r="E69" s="78">
        <v>0</v>
      </c>
    </row>
    <row r="70" spans="2:5">
      <c r="B70" s="223" t="s">
        <v>58</v>
      </c>
      <c r="C70" s="22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261879.7</v>
      </c>
      <c r="E73" s="26">
        <f>D73/E21</f>
        <v>2.8410543472993954E-3</v>
      </c>
    </row>
    <row r="74" spans="2:5">
      <c r="B74" s="129" t="s">
        <v>64</v>
      </c>
      <c r="C74" s="120" t="s">
        <v>66</v>
      </c>
      <c r="D74" s="121">
        <f>D58+D71-D73</f>
        <v>92176941.370000005</v>
      </c>
      <c r="E74" s="66">
        <f>E58+E72-E73</f>
        <v>1</v>
      </c>
    </row>
    <row r="75" spans="2:5">
      <c r="B75" s="181" t="s">
        <v>4</v>
      </c>
      <c r="C75" s="182" t="s">
        <v>67</v>
      </c>
      <c r="D75" s="77">
        <f>D74</f>
        <v>92176941.370000005</v>
      </c>
      <c r="E75" s="78">
        <f>E74</f>
        <v>1</v>
      </c>
    </row>
    <row r="76" spans="2:5">
      <c r="B76" s="181" t="s">
        <v>6</v>
      </c>
      <c r="C76" s="182" t="s">
        <v>119</v>
      </c>
      <c r="D76" s="77">
        <v>0</v>
      </c>
      <c r="E76" s="78">
        <v>0</v>
      </c>
    </row>
    <row r="77" spans="2:5" ht="13.5" thickBot="1">
      <c r="B77" s="185" t="s">
        <v>8</v>
      </c>
      <c r="C77" s="186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70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97587906.030000001</v>
      </c>
      <c r="E11" s="229">
        <f>SUM(E12:E14)</f>
        <v>82010871.780000001</v>
      </c>
    </row>
    <row r="12" spans="2:7">
      <c r="B12" s="105" t="s">
        <v>4</v>
      </c>
      <c r="C12" s="6" t="s">
        <v>5</v>
      </c>
      <c r="D12" s="245">
        <v>97587906.030000001</v>
      </c>
      <c r="E12" s="251">
        <f>82036017.36-25145.58</f>
        <v>82010871.780000001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286695.46999999997</v>
      </c>
      <c r="E17" s="254">
        <f>E18</f>
        <v>213962.27</v>
      </c>
    </row>
    <row r="18" spans="2:6">
      <c r="B18" s="105" t="s">
        <v>4</v>
      </c>
      <c r="C18" s="6" t="s">
        <v>11</v>
      </c>
      <c r="D18" s="243">
        <v>286695.46999999997</v>
      </c>
      <c r="E18" s="253">
        <v>213962.27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97301210.560000002</v>
      </c>
      <c r="E21" s="147">
        <f>E11-E17</f>
        <v>81796909.510000005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101602877.07000001</v>
      </c>
      <c r="E26" s="219">
        <f>D21</f>
        <v>97301210.560000002</v>
      </c>
    </row>
    <row r="27" spans="2:6">
      <c r="B27" s="9" t="s">
        <v>17</v>
      </c>
      <c r="C27" s="10" t="s">
        <v>111</v>
      </c>
      <c r="D27" s="198">
        <v>-7894711.0899999989</v>
      </c>
      <c r="E27" s="292">
        <f>E28-E32</f>
        <v>-5076833.1499999994</v>
      </c>
      <c r="F27" s="71"/>
    </row>
    <row r="28" spans="2:6">
      <c r="B28" s="9" t="s">
        <v>18</v>
      </c>
      <c r="C28" s="10" t="s">
        <v>19</v>
      </c>
      <c r="D28" s="198">
        <v>125221.91</v>
      </c>
      <c r="E28" s="293">
        <v>27189.3</v>
      </c>
      <c r="F28" s="71"/>
    </row>
    <row r="29" spans="2:6">
      <c r="B29" s="103" t="s">
        <v>4</v>
      </c>
      <c r="C29" s="6" t="s">
        <v>20</v>
      </c>
      <c r="D29" s="199">
        <v>28384.91</v>
      </c>
      <c r="E29" s="295">
        <v>27189.3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96837</v>
      </c>
      <c r="E31" s="295"/>
      <c r="F31" s="71"/>
    </row>
    <row r="32" spans="2:6">
      <c r="B32" s="91" t="s">
        <v>23</v>
      </c>
      <c r="C32" s="11" t="s">
        <v>24</v>
      </c>
      <c r="D32" s="198">
        <v>8019932.9999999991</v>
      </c>
      <c r="E32" s="293">
        <f>SUM(E33:E39)</f>
        <v>5104022.4499999993</v>
      </c>
      <c r="F32" s="71"/>
    </row>
    <row r="33" spans="2:6">
      <c r="B33" s="103" t="s">
        <v>4</v>
      </c>
      <c r="C33" s="6" t="s">
        <v>25</v>
      </c>
      <c r="D33" s="199">
        <v>7733739.4699999997</v>
      </c>
      <c r="E33" s="295">
        <f>5021546.85-121189.2</f>
        <v>4900357.6499999994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79487.429999999993</v>
      </c>
      <c r="E35" s="295">
        <v>69022.8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206706.1</v>
      </c>
      <c r="E39" s="297">
        <v>134642</v>
      </c>
      <c r="F39" s="71"/>
    </row>
    <row r="40" spans="2:6" ht="13.5" thickBot="1">
      <c r="B40" s="96" t="s">
        <v>35</v>
      </c>
      <c r="C40" s="97" t="s">
        <v>36</v>
      </c>
      <c r="D40" s="201">
        <v>8283871.2999999998</v>
      </c>
      <c r="E40" s="306">
        <v>-10427467.9</v>
      </c>
    </row>
    <row r="41" spans="2:6" ht="13.5" thickBot="1">
      <c r="B41" s="98" t="s">
        <v>37</v>
      </c>
      <c r="C41" s="99" t="s">
        <v>38</v>
      </c>
      <c r="D41" s="202">
        <v>101992037.28</v>
      </c>
      <c r="E41" s="147">
        <f>E26+E27+E40</f>
        <v>81796909.50999999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8079430.405948</v>
      </c>
      <c r="E47" s="73">
        <v>7036308.9261999996</v>
      </c>
    </row>
    <row r="48" spans="2:6">
      <c r="B48" s="122" t="s">
        <v>6</v>
      </c>
      <c r="C48" s="22" t="s">
        <v>41</v>
      </c>
      <c r="D48" s="203">
        <v>7495501.4132327968</v>
      </c>
      <c r="E48" s="73">
        <v>6619105.1206999999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12.5755</v>
      </c>
      <c r="E50" s="73">
        <v>13.8284</v>
      </c>
    </row>
    <row r="51" spans="2:5">
      <c r="B51" s="101" t="s">
        <v>6</v>
      </c>
      <c r="C51" s="15" t="s">
        <v>114</v>
      </c>
      <c r="D51" s="203">
        <v>12.4817</v>
      </c>
      <c r="E51" s="74">
        <v>9.6153999999999993</v>
      </c>
    </row>
    <row r="52" spans="2:5" ht="12.75" customHeight="1">
      <c r="B52" s="101" t="s">
        <v>8</v>
      </c>
      <c r="C52" s="15" t="s">
        <v>115</v>
      </c>
      <c r="D52" s="203">
        <v>13.945600000000001</v>
      </c>
      <c r="E52" s="74">
        <v>14.222899999999999</v>
      </c>
    </row>
    <row r="53" spans="2:5" ht="13.5" thickBot="1">
      <c r="B53" s="102" t="s">
        <v>9</v>
      </c>
      <c r="C53" s="17" t="s">
        <v>41</v>
      </c>
      <c r="D53" s="205">
        <v>13.607100000000001</v>
      </c>
      <c r="E53" s="309">
        <v>12.357699999999999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82010871.780000001</v>
      </c>
      <c r="E58" s="31">
        <f>D58/E21</f>
        <v>1.0026157744990822</v>
      </c>
    </row>
    <row r="59" spans="2:5" ht="25.5">
      <c r="B59" s="183" t="s">
        <v>4</v>
      </c>
      <c r="C59" s="184" t="s">
        <v>44</v>
      </c>
      <c r="D59" s="79">
        <v>0</v>
      </c>
      <c r="E59" s="80">
        <v>0</v>
      </c>
    </row>
    <row r="60" spans="2:5" ht="24" customHeight="1">
      <c r="B60" s="181" t="s">
        <v>6</v>
      </c>
      <c r="C60" s="182" t="s">
        <v>45</v>
      </c>
      <c r="D60" s="77">
        <v>0</v>
      </c>
      <c r="E60" s="78">
        <v>0</v>
      </c>
    </row>
    <row r="61" spans="2:5">
      <c r="B61" s="181" t="s">
        <v>8</v>
      </c>
      <c r="C61" s="182" t="s">
        <v>46</v>
      </c>
      <c r="D61" s="77">
        <v>0</v>
      </c>
      <c r="E61" s="78">
        <v>0</v>
      </c>
    </row>
    <row r="62" spans="2:5">
      <c r="B62" s="181" t="s">
        <v>9</v>
      </c>
      <c r="C62" s="182" t="s">
        <v>47</v>
      </c>
      <c r="D62" s="77">
        <v>0</v>
      </c>
      <c r="E62" s="78">
        <v>0</v>
      </c>
    </row>
    <row r="63" spans="2:5">
      <c r="B63" s="181" t="s">
        <v>29</v>
      </c>
      <c r="C63" s="182" t="s">
        <v>48</v>
      </c>
      <c r="D63" s="77">
        <v>0</v>
      </c>
      <c r="E63" s="78">
        <v>0</v>
      </c>
    </row>
    <row r="64" spans="2:5">
      <c r="B64" s="183" t="s">
        <v>31</v>
      </c>
      <c r="C64" s="184" t="s">
        <v>49</v>
      </c>
      <c r="D64" s="79">
        <f>82036017.36-25145.58</f>
        <v>82010871.780000001</v>
      </c>
      <c r="E64" s="80">
        <f>D64/E21</f>
        <v>1.0026157744990822</v>
      </c>
    </row>
    <row r="65" spans="2:5">
      <c r="B65" s="183" t="s">
        <v>33</v>
      </c>
      <c r="C65" s="184" t="s">
        <v>118</v>
      </c>
      <c r="D65" s="79">
        <v>0</v>
      </c>
      <c r="E65" s="80">
        <v>0</v>
      </c>
    </row>
    <row r="66" spans="2:5">
      <c r="B66" s="183" t="s">
        <v>50</v>
      </c>
      <c r="C66" s="184" t="s">
        <v>51</v>
      </c>
      <c r="D66" s="79">
        <v>0</v>
      </c>
      <c r="E66" s="80">
        <v>0</v>
      </c>
    </row>
    <row r="67" spans="2:5">
      <c r="B67" s="181" t="s">
        <v>52</v>
      </c>
      <c r="C67" s="182" t="s">
        <v>53</v>
      </c>
      <c r="D67" s="77">
        <v>0</v>
      </c>
      <c r="E67" s="78">
        <v>0</v>
      </c>
    </row>
    <row r="68" spans="2:5">
      <c r="B68" s="181" t="s">
        <v>54</v>
      </c>
      <c r="C68" s="182" t="s">
        <v>55</v>
      </c>
      <c r="D68" s="77">
        <v>0</v>
      </c>
      <c r="E68" s="78">
        <v>0</v>
      </c>
    </row>
    <row r="69" spans="2:5">
      <c r="B69" s="181" t="s">
        <v>56</v>
      </c>
      <c r="C69" s="182" t="s">
        <v>57</v>
      </c>
      <c r="D69" s="239">
        <v>0</v>
      </c>
      <c r="E69" s="78">
        <v>0</v>
      </c>
    </row>
    <row r="70" spans="2:5">
      <c r="B70" s="223" t="s">
        <v>58</v>
      </c>
      <c r="C70" s="22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f>D72/E21</f>
        <v>0</v>
      </c>
    </row>
    <row r="73" spans="2:5">
      <c r="B73" s="131" t="s">
        <v>62</v>
      </c>
      <c r="C73" s="24" t="s">
        <v>65</v>
      </c>
      <c r="D73" s="25">
        <f>E17</f>
        <v>213962.27</v>
      </c>
      <c r="E73" s="26">
        <f>D73/E21</f>
        <v>2.6157744990822941E-3</v>
      </c>
    </row>
    <row r="74" spans="2:5">
      <c r="B74" s="129" t="s">
        <v>64</v>
      </c>
      <c r="C74" s="120" t="s">
        <v>66</v>
      </c>
      <c r="D74" s="121">
        <f>D58+D72-D73</f>
        <v>81796909.510000005</v>
      </c>
      <c r="E74" s="66">
        <f>E58+E72-E73</f>
        <v>0.99999999999999989</v>
      </c>
    </row>
    <row r="75" spans="2:5">
      <c r="B75" s="181" t="s">
        <v>4</v>
      </c>
      <c r="C75" s="182" t="s">
        <v>67</v>
      </c>
      <c r="D75" s="77">
        <f>D74</f>
        <v>81796909.510000005</v>
      </c>
      <c r="E75" s="78">
        <f>E74</f>
        <v>0.99999999999999989</v>
      </c>
    </row>
    <row r="76" spans="2:5">
      <c r="B76" s="181" t="s">
        <v>6</v>
      </c>
      <c r="C76" s="182" t="s">
        <v>119</v>
      </c>
      <c r="D76" s="77">
        <v>0</v>
      </c>
      <c r="E76" s="78">
        <v>0</v>
      </c>
    </row>
    <row r="77" spans="2:5" ht="13.5" thickBot="1">
      <c r="B77" s="185" t="s">
        <v>8</v>
      </c>
      <c r="C77" s="186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71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90" t="s">
        <v>109</v>
      </c>
      <c r="D11" s="228">
        <v>11915719.76</v>
      </c>
      <c r="E11" s="229">
        <f>SUM(E12:E14)</f>
        <v>10972578.51</v>
      </c>
    </row>
    <row r="12" spans="2:7">
      <c r="B12" s="105" t="s">
        <v>4</v>
      </c>
      <c r="C12" s="191" t="s">
        <v>5</v>
      </c>
      <c r="D12" s="245">
        <v>11915719.76</v>
      </c>
      <c r="E12" s="251">
        <f>10972578.51</f>
        <v>10972578.51</v>
      </c>
    </row>
    <row r="13" spans="2:7">
      <c r="B13" s="105" t="s">
        <v>6</v>
      </c>
      <c r="C13" s="191" t="s">
        <v>7</v>
      </c>
      <c r="D13" s="241"/>
      <c r="E13" s="252"/>
    </row>
    <row r="14" spans="2:7">
      <c r="B14" s="105" t="s">
        <v>8</v>
      </c>
      <c r="C14" s="191" t="s">
        <v>10</v>
      </c>
      <c r="D14" s="241"/>
      <c r="E14" s="252"/>
    </row>
    <row r="15" spans="2:7">
      <c r="B15" s="105" t="s">
        <v>106</v>
      </c>
      <c r="C15" s="191" t="s">
        <v>11</v>
      </c>
      <c r="D15" s="241"/>
      <c r="E15" s="252"/>
    </row>
    <row r="16" spans="2:7">
      <c r="B16" s="106" t="s">
        <v>107</v>
      </c>
      <c r="C16" s="192" t="s">
        <v>12</v>
      </c>
      <c r="D16" s="243"/>
      <c r="E16" s="253"/>
    </row>
    <row r="17" spans="2:6">
      <c r="B17" s="9" t="s">
        <v>13</v>
      </c>
      <c r="C17" s="193" t="s">
        <v>65</v>
      </c>
      <c r="D17" s="244">
        <v>39347.39</v>
      </c>
      <c r="E17" s="254">
        <f>E18</f>
        <v>20672.71</v>
      </c>
    </row>
    <row r="18" spans="2:6">
      <c r="B18" s="105" t="s">
        <v>4</v>
      </c>
      <c r="C18" s="191" t="s">
        <v>11</v>
      </c>
      <c r="D18" s="243">
        <v>39347.39</v>
      </c>
      <c r="E18" s="253">
        <v>20672.71</v>
      </c>
    </row>
    <row r="19" spans="2:6" ht="15" customHeight="1">
      <c r="B19" s="105" t="s">
        <v>6</v>
      </c>
      <c r="C19" s="191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11876372.369999999</v>
      </c>
      <c r="E21" s="147">
        <f>E11-E17</f>
        <v>10951905.799999999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11548322.520000001</v>
      </c>
      <c r="E26" s="219">
        <f>D21</f>
        <v>11876372.369999999</v>
      </c>
    </row>
    <row r="27" spans="2:6">
      <c r="B27" s="9" t="s">
        <v>17</v>
      </c>
      <c r="C27" s="10" t="s">
        <v>111</v>
      </c>
      <c r="D27" s="198">
        <v>-725476.5</v>
      </c>
      <c r="E27" s="292">
        <f>E28-E32</f>
        <v>-627890.02</v>
      </c>
      <c r="F27" s="71"/>
    </row>
    <row r="28" spans="2:6">
      <c r="B28" s="9" t="s">
        <v>18</v>
      </c>
      <c r="C28" s="10" t="s">
        <v>19</v>
      </c>
      <c r="D28" s="198">
        <v>128172.06999999999</v>
      </c>
      <c r="E28" s="293">
        <f>SUM(E29:E31)</f>
        <v>269625.69999999995</v>
      </c>
      <c r="F28" s="71"/>
    </row>
    <row r="29" spans="2:6">
      <c r="B29" s="103" t="s">
        <v>4</v>
      </c>
      <c r="C29" s="6" t="s">
        <v>20</v>
      </c>
      <c r="D29" s="199">
        <v>5872.95</v>
      </c>
      <c r="E29" s="295">
        <v>5831.1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122299.12</v>
      </c>
      <c r="E31" s="295">
        <v>263794.59999999998</v>
      </c>
      <c r="F31" s="71"/>
    </row>
    <row r="32" spans="2:6">
      <c r="B32" s="91" t="s">
        <v>23</v>
      </c>
      <c r="C32" s="11" t="s">
        <v>24</v>
      </c>
      <c r="D32" s="198">
        <v>853648.57</v>
      </c>
      <c r="E32" s="293">
        <f>SUM(E33:E39)</f>
        <v>897515.72</v>
      </c>
      <c r="F32" s="71"/>
    </row>
    <row r="33" spans="2:6">
      <c r="B33" s="103" t="s">
        <v>4</v>
      </c>
      <c r="C33" s="6" t="s">
        <v>25</v>
      </c>
      <c r="D33" s="199">
        <v>823017.86</v>
      </c>
      <c r="E33" s="295">
        <f>775331.89-700.61</f>
        <v>774631.28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8753.2099999999991</v>
      </c>
      <c r="E35" s="295">
        <v>8991.32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21877.5</v>
      </c>
      <c r="E39" s="297">
        <v>113893.12</v>
      </c>
      <c r="F39" s="71"/>
    </row>
    <row r="40" spans="2:6" ht="13.5" thickBot="1">
      <c r="B40" s="96" t="s">
        <v>35</v>
      </c>
      <c r="C40" s="97" t="s">
        <v>36</v>
      </c>
      <c r="D40" s="201">
        <v>1122417.78</v>
      </c>
      <c r="E40" s="306">
        <v>-296576.55</v>
      </c>
    </row>
    <row r="41" spans="2:6" ht="13.5" thickBot="1">
      <c r="B41" s="98" t="s">
        <v>37</v>
      </c>
      <c r="C41" s="99" t="s">
        <v>38</v>
      </c>
      <c r="D41" s="202">
        <v>11945263.800000001</v>
      </c>
      <c r="E41" s="147">
        <f>E26+E27+E40</f>
        <v>10951905.799999999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817991.52280000004</v>
      </c>
      <c r="E47" s="73">
        <v>721664.47169999999</v>
      </c>
    </row>
    <row r="48" spans="2:6">
      <c r="B48" s="122" t="s">
        <v>6</v>
      </c>
      <c r="C48" s="22" t="s">
        <v>41</v>
      </c>
      <c r="D48" s="203">
        <v>771065.12435530825</v>
      </c>
      <c r="E48" s="73">
        <v>681275.41440000001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14.117900000000001</v>
      </c>
      <c r="E50" s="73">
        <v>16.456900000000001</v>
      </c>
    </row>
    <row r="51" spans="2:5">
      <c r="B51" s="101" t="s">
        <v>6</v>
      </c>
      <c r="C51" s="15" t="s">
        <v>114</v>
      </c>
      <c r="D51" s="203">
        <v>14.116400000000001</v>
      </c>
      <c r="E51" s="74">
        <v>13.7034</v>
      </c>
    </row>
    <row r="52" spans="2:5" ht="12.75" customHeight="1">
      <c r="B52" s="101" t="s">
        <v>8</v>
      </c>
      <c r="C52" s="15" t="s">
        <v>115</v>
      </c>
      <c r="D52" s="203">
        <v>15.9802</v>
      </c>
      <c r="E52" s="74">
        <v>17.4588</v>
      </c>
    </row>
    <row r="53" spans="2:5" ht="13.5" thickBot="1">
      <c r="B53" s="102" t="s">
        <v>9</v>
      </c>
      <c r="C53" s="17" t="s">
        <v>41</v>
      </c>
      <c r="D53" s="205">
        <v>15.491899999999999</v>
      </c>
      <c r="E53" s="309">
        <v>16.075600000000001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10972578.510000002</v>
      </c>
      <c r="E58" s="31">
        <f>D58/E21</f>
        <v>1.0018875901945763</v>
      </c>
    </row>
    <row r="59" spans="2:5" ht="25.5">
      <c r="B59" s="183" t="s">
        <v>4</v>
      </c>
      <c r="C59" s="184" t="s">
        <v>44</v>
      </c>
      <c r="D59" s="79">
        <v>0</v>
      </c>
      <c r="E59" s="80">
        <v>0</v>
      </c>
    </row>
    <row r="60" spans="2:5" ht="24" customHeight="1">
      <c r="B60" s="181" t="s">
        <v>6</v>
      </c>
      <c r="C60" s="182" t="s">
        <v>45</v>
      </c>
      <c r="D60" s="77">
        <v>0</v>
      </c>
      <c r="E60" s="78">
        <v>0</v>
      </c>
    </row>
    <row r="61" spans="2:5">
      <c r="B61" s="181" t="s">
        <v>8</v>
      </c>
      <c r="C61" s="182" t="s">
        <v>46</v>
      </c>
      <c r="D61" s="77">
        <v>0</v>
      </c>
      <c r="E61" s="78">
        <v>0</v>
      </c>
    </row>
    <row r="62" spans="2:5">
      <c r="B62" s="181" t="s">
        <v>9</v>
      </c>
      <c r="C62" s="182" t="s">
        <v>47</v>
      </c>
      <c r="D62" s="77">
        <v>0</v>
      </c>
      <c r="E62" s="78">
        <v>0</v>
      </c>
    </row>
    <row r="63" spans="2:5">
      <c r="B63" s="181" t="s">
        <v>29</v>
      </c>
      <c r="C63" s="182" t="s">
        <v>48</v>
      </c>
      <c r="D63" s="77">
        <v>0</v>
      </c>
      <c r="E63" s="78">
        <v>0</v>
      </c>
    </row>
    <row r="64" spans="2:5">
      <c r="B64" s="183" t="s">
        <v>31</v>
      </c>
      <c r="C64" s="184" t="s">
        <v>49</v>
      </c>
      <c r="D64" s="79">
        <v>10972578.510000002</v>
      </c>
      <c r="E64" s="80">
        <f>D64/E21</f>
        <v>1.0018875901945763</v>
      </c>
    </row>
    <row r="65" spans="2:5">
      <c r="B65" s="183" t="s">
        <v>33</v>
      </c>
      <c r="C65" s="184" t="s">
        <v>118</v>
      </c>
      <c r="D65" s="79">
        <v>0</v>
      </c>
      <c r="E65" s="80">
        <v>0</v>
      </c>
    </row>
    <row r="66" spans="2:5">
      <c r="B66" s="183" t="s">
        <v>50</v>
      </c>
      <c r="C66" s="184" t="s">
        <v>51</v>
      </c>
      <c r="D66" s="79">
        <v>0</v>
      </c>
      <c r="E66" s="80">
        <v>0</v>
      </c>
    </row>
    <row r="67" spans="2:5">
      <c r="B67" s="181" t="s">
        <v>52</v>
      </c>
      <c r="C67" s="182" t="s">
        <v>53</v>
      </c>
      <c r="D67" s="77">
        <v>0</v>
      </c>
      <c r="E67" s="78">
        <v>0</v>
      </c>
    </row>
    <row r="68" spans="2:5">
      <c r="B68" s="181" t="s">
        <v>54</v>
      </c>
      <c r="C68" s="182" t="s">
        <v>55</v>
      </c>
      <c r="D68" s="77">
        <v>0</v>
      </c>
      <c r="E68" s="78">
        <v>0</v>
      </c>
    </row>
    <row r="69" spans="2:5">
      <c r="B69" s="181" t="s">
        <v>56</v>
      </c>
      <c r="C69" s="182" t="s">
        <v>57</v>
      </c>
      <c r="D69" s="239">
        <v>0</v>
      </c>
      <c r="E69" s="78">
        <v>0</v>
      </c>
    </row>
    <row r="70" spans="2:5">
      <c r="B70" s="223" t="s">
        <v>58</v>
      </c>
      <c r="C70" s="22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f>E13</f>
        <v>0</v>
      </c>
      <c r="E71" s="66">
        <f>D71/E21</f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20672.71</v>
      </c>
      <c r="E73" s="26">
        <f>D73/E21</f>
        <v>1.8875901945759981E-3</v>
      </c>
    </row>
    <row r="74" spans="2:5">
      <c r="B74" s="129" t="s">
        <v>64</v>
      </c>
      <c r="C74" s="120" t="s">
        <v>66</v>
      </c>
      <c r="D74" s="121">
        <f>D58+D72-D73</f>
        <v>10951905.800000001</v>
      </c>
      <c r="E74" s="66">
        <f>E58+E71+E72-E73</f>
        <v>1.0000000000000002</v>
      </c>
    </row>
    <row r="75" spans="2:5">
      <c r="B75" s="181" t="s">
        <v>4</v>
      </c>
      <c r="C75" s="182" t="s">
        <v>67</v>
      </c>
      <c r="D75" s="77">
        <f>D74</f>
        <v>10951905.800000001</v>
      </c>
      <c r="E75" s="78">
        <f>E74</f>
        <v>1.0000000000000002</v>
      </c>
    </row>
    <row r="76" spans="2:5">
      <c r="B76" s="181" t="s">
        <v>6</v>
      </c>
      <c r="C76" s="182" t="s">
        <v>119</v>
      </c>
      <c r="D76" s="77">
        <v>0</v>
      </c>
      <c r="E76" s="78">
        <v>0</v>
      </c>
    </row>
    <row r="77" spans="2:5" ht="13.5" thickBot="1">
      <c r="B77" s="185" t="s">
        <v>8</v>
      </c>
      <c r="C77" s="186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F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86"/>
      <c r="C4" s="86"/>
      <c r="D4" s="86"/>
      <c r="E4" s="86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72</v>
      </c>
      <c r="C6" s="351"/>
      <c r="D6" s="351"/>
      <c r="E6" s="351"/>
    </row>
    <row r="7" spans="2:5" ht="14.25">
      <c r="B7" s="88"/>
      <c r="C7" s="88"/>
      <c r="D7" s="88"/>
      <c r="E7" s="8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87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11601744.469999999</v>
      </c>
      <c r="E11" s="229">
        <f>SUM(E12:E14)</f>
        <v>10145519.879999999</v>
      </c>
    </row>
    <row r="12" spans="2:5">
      <c r="B12" s="105" t="s">
        <v>4</v>
      </c>
      <c r="C12" s="6" t="s">
        <v>5</v>
      </c>
      <c r="D12" s="245">
        <v>11601744.469999999</v>
      </c>
      <c r="E12" s="251">
        <f>10161212.76-15692.88</f>
        <v>10145519.879999999</v>
      </c>
    </row>
    <row r="13" spans="2:5">
      <c r="B13" s="105" t="s">
        <v>6</v>
      </c>
      <c r="C13" s="68" t="s">
        <v>7</v>
      </c>
      <c r="D13" s="241"/>
      <c r="E13" s="252"/>
    </row>
    <row r="14" spans="2:5">
      <c r="B14" s="105" t="s">
        <v>8</v>
      </c>
      <c r="C14" s="68" t="s">
        <v>10</v>
      </c>
      <c r="D14" s="241"/>
      <c r="E14" s="252"/>
    </row>
    <row r="15" spans="2:5">
      <c r="B15" s="105" t="s">
        <v>106</v>
      </c>
      <c r="C15" s="68" t="s">
        <v>11</v>
      </c>
      <c r="D15" s="241"/>
      <c r="E15" s="252"/>
    </row>
    <row r="16" spans="2:5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36415.160000000003</v>
      </c>
      <c r="E17" s="254">
        <f>E18</f>
        <v>23533.49</v>
      </c>
    </row>
    <row r="18" spans="2:6">
      <c r="B18" s="105" t="s">
        <v>4</v>
      </c>
      <c r="C18" s="6" t="s">
        <v>11</v>
      </c>
      <c r="D18" s="243">
        <v>36415.160000000003</v>
      </c>
      <c r="E18" s="253">
        <v>23533.49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11565329.309999999</v>
      </c>
      <c r="E21" s="147">
        <f>E11-E17</f>
        <v>10121986.389999999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12160604.040000001</v>
      </c>
      <c r="E26" s="219">
        <f>D21</f>
        <v>11565329.309999999</v>
      </c>
    </row>
    <row r="27" spans="2:6">
      <c r="B27" s="9" t="s">
        <v>17</v>
      </c>
      <c r="C27" s="10" t="s">
        <v>111</v>
      </c>
      <c r="D27" s="198">
        <v>-1136217.94</v>
      </c>
      <c r="E27" s="292">
        <f>E28-E32</f>
        <v>-960805.05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394.16</v>
      </c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>
        <v>394.16</v>
      </c>
      <c r="F31" s="71"/>
    </row>
    <row r="32" spans="2:6">
      <c r="B32" s="91" t="s">
        <v>23</v>
      </c>
      <c r="C32" s="11" t="s">
        <v>24</v>
      </c>
      <c r="D32" s="198">
        <v>1136217.94</v>
      </c>
      <c r="E32" s="293">
        <f>SUM(E33:E39)</f>
        <v>961199.21000000008</v>
      </c>
      <c r="F32" s="71"/>
    </row>
    <row r="33" spans="2:6">
      <c r="B33" s="103" t="s">
        <v>4</v>
      </c>
      <c r="C33" s="6" t="s">
        <v>25</v>
      </c>
      <c r="D33" s="199">
        <v>1042100.34</v>
      </c>
      <c r="E33" s="295">
        <f>918480.31+15692.88</f>
        <v>934173.19000000006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9594.94</v>
      </c>
      <c r="E35" s="295">
        <v>8922.2900000000009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84522.66</v>
      </c>
      <c r="E39" s="297">
        <v>18103.73</v>
      </c>
      <c r="F39" s="71"/>
    </row>
    <row r="40" spans="2:6" ht="13.5" thickBot="1">
      <c r="B40" s="96" t="s">
        <v>35</v>
      </c>
      <c r="C40" s="97" t="s">
        <v>36</v>
      </c>
      <c r="D40" s="201">
        <v>744114.36</v>
      </c>
      <c r="E40" s="306">
        <v>-482537.87</v>
      </c>
    </row>
    <row r="41" spans="2:6" ht="13.5" thickBot="1">
      <c r="B41" s="98" t="s">
        <v>37</v>
      </c>
      <c r="C41" s="99" t="s">
        <v>38</v>
      </c>
      <c r="D41" s="202">
        <v>11768500.460000001</v>
      </c>
      <c r="E41" s="147">
        <f>E26+E27+E40</f>
        <v>10121986.389999999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1116231.7472999999</v>
      </c>
      <c r="E47" s="73">
        <v>962894.64320000005</v>
      </c>
    </row>
    <row r="48" spans="2:6">
      <c r="B48" s="122" t="s">
        <v>6</v>
      </c>
      <c r="C48" s="22" t="s">
        <v>41</v>
      </c>
      <c r="D48" s="203">
        <v>1017377.3009</v>
      </c>
      <c r="E48" s="73">
        <v>876790.76379999996</v>
      </c>
    </row>
    <row r="49" spans="2:5">
      <c r="B49" s="119" t="s">
        <v>23</v>
      </c>
      <c r="C49" s="123" t="s">
        <v>113</v>
      </c>
      <c r="D49" s="204"/>
      <c r="E49" s="124"/>
    </row>
    <row r="50" spans="2:5">
      <c r="B50" s="101" t="s">
        <v>4</v>
      </c>
      <c r="C50" s="15" t="s">
        <v>40</v>
      </c>
      <c r="D50" s="203">
        <v>10.894299999999999</v>
      </c>
      <c r="E50" s="73">
        <v>12.010999999999999</v>
      </c>
    </row>
    <row r="51" spans="2:5">
      <c r="B51" s="101" t="s">
        <v>6</v>
      </c>
      <c r="C51" s="15" t="s">
        <v>114</v>
      </c>
      <c r="D51" s="203">
        <v>10.8071</v>
      </c>
      <c r="E51" s="74">
        <v>9.7369000000000003</v>
      </c>
    </row>
    <row r="52" spans="2:5" ht="12.75" customHeight="1">
      <c r="B52" s="101" t="s">
        <v>8</v>
      </c>
      <c r="C52" s="15" t="s">
        <v>115</v>
      </c>
      <c r="D52" s="203">
        <v>11.8994</v>
      </c>
      <c r="E52" s="74">
        <v>12.2241</v>
      </c>
    </row>
    <row r="53" spans="2:5" ht="13.5" thickBot="1">
      <c r="B53" s="102" t="s">
        <v>9</v>
      </c>
      <c r="C53" s="17" t="s">
        <v>41</v>
      </c>
      <c r="D53" s="205">
        <v>11.567500000000001</v>
      </c>
      <c r="E53" s="309">
        <v>11.5444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10145519.879999999</v>
      </c>
      <c r="E58" s="31">
        <f>D58/E21</f>
        <v>1.0023249873190159</v>
      </c>
    </row>
    <row r="59" spans="2:5" ht="25.5">
      <c r="B59" s="183" t="s">
        <v>4</v>
      </c>
      <c r="C59" s="184" t="s">
        <v>44</v>
      </c>
      <c r="D59" s="79">
        <v>0</v>
      </c>
      <c r="E59" s="80">
        <v>0</v>
      </c>
    </row>
    <row r="60" spans="2:5" ht="24" customHeight="1">
      <c r="B60" s="181" t="s">
        <v>6</v>
      </c>
      <c r="C60" s="182" t="s">
        <v>45</v>
      </c>
      <c r="D60" s="77">
        <v>0</v>
      </c>
      <c r="E60" s="78">
        <v>0</v>
      </c>
    </row>
    <row r="61" spans="2:5">
      <c r="B61" s="181" t="s">
        <v>8</v>
      </c>
      <c r="C61" s="182" t="s">
        <v>46</v>
      </c>
      <c r="D61" s="77">
        <v>0</v>
      </c>
      <c r="E61" s="78">
        <v>0</v>
      </c>
    </row>
    <row r="62" spans="2:5">
      <c r="B62" s="181" t="s">
        <v>9</v>
      </c>
      <c r="C62" s="182" t="s">
        <v>47</v>
      </c>
      <c r="D62" s="77">
        <v>0</v>
      </c>
      <c r="E62" s="78">
        <v>0</v>
      </c>
    </row>
    <row r="63" spans="2:5">
      <c r="B63" s="181" t="s">
        <v>29</v>
      </c>
      <c r="C63" s="182" t="s">
        <v>48</v>
      </c>
      <c r="D63" s="77">
        <v>0</v>
      </c>
      <c r="E63" s="78">
        <v>0</v>
      </c>
    </row>
    <row r="64" spans="2:5">
      <c r="B64" s="183" t="s">
        <v>31</v>
      </c>
      <c r="C64" s="184" t="s">
        <v>49</v>
      </c>
      <c r="D64" s="79">
        <f>10161212.76-15692.88</f>
        <v>10145519.879999999</v>
      </c>
      <c r="E64" s="80">
        <f>D64/E21</f>
        <v>1.0023249873190159</v>
      </c>
    </row>
    <row r="65" spans="2:5">
      <c r="B65" s="183" t="s">
        <v>33</v>
      </c>
      <c r="C65" s="184" t="s">
        <v>118</v>
      </c>
      <c r="D65" s="79">
        <v>0</v>
      </c>
      <c r="E65" s="80">
        <v>0</v>
      </c>
    </row>
    <row r="66" spans="2:5">
      <c r="B66" s="183" t="s">
        <v>50</v>
      </c>
      <c r="C66" s="184" t="s">
        <v>51</v>
      </c>
      <c r="D66" s="79">
        <v>0</v>
      </c>
      <c r="E66" s="80">
        <v>0</v>
      </c>
    </row>
    <row r="67" spans="2:5">
      <c r="B67" s="181" t="s">
        <v>52</v>
      </c>
      <c r="C67" s="182" t="s">
        <v>53</v>
      </c>
      <c r="D67" s="77">
        <v>0</v>
      </c>
      <c r="E67" s="78">
        <v>0</v>
      </c>
    </row>
    <row r="68" spans="2:5">
      <c r="B68" s="181" t="s">
        <v>54</v>
      </c>
      <c r="C68" s="182" t="s">
        <v>55</v>
      </c>
      <c r="D68" s="77">
        <v>0</v>
      </c>
      <c r="E68" s="78">
        <v>0</v>
      </c>
    </row>
    <row r="69" spans="2:5">
      <c r="B69" s="181" t="s">
        <v>56</v>
      </c>
      <c r="C69" s="182" t="s">
        <v>57</v>
      </c>
      <c r="D69" s="239">
        <v>0</v>
      </c>
      <c r="E69" s="78">
        <v>0</v>
      </c>
    </row>
    <row r="70" spans="2:5">
      <c r="B70" s="223" t="s">
        <v>58</v>
      </c>
      <c r="C70" s="22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f>D72/E21</f>
        <v>0</v>
      </c>
    </row>
    <row r="73" spans="2:5">
      <c r="B73" s="131" t="s">
        <v>62</v>
      </c>
      <c r="C73" s="24" t="s">
        <v>65</v>
      </c>
      <c r="D73" s="25">
        <f>E17</f>
        <v>23533.49</v>
      </c>
      <c r="E73" s="26">
        <f>D73/E21</f>
        <v>2.3249873190157493E-3</v>
      </c>
    </row>
    <row r="74" spans="2:5">
      <c r="B74" s="129" t="s">
        <v>64</v>
      </c>
      <c r="C74" s="120" t="s">
        <v>66</v>
      </c>
      <c r="D74" s="121">
        <f>D58-D73+D72</f>
        <v>10121986.389999999</v>
      </c>
      <c r="E74" s="66">
        <f>E58+E72-E73</f>
        <v>1.0000000000000002</v>
      </c>
    </row>
    <row r="75" spans="2:5">
      <c r="B75" s="181" t="s">
        <v>4</v>
      </c>
      <c r="C75" s="182" t="s">
        <v>67</v>
      </c>
      <c r="D75" s="77">
        <f>D74</f>
        <v>10121986.389999999</v>
      </c>
      <c r="E75" s="78">
        <f>E74</f>
        <v>1.0000000000000002</v>
      </c>
    </row>
    <row r="76" spans="2:5">
      <c r="B76" s="181" t="s">
        <v>6</v>
      </c>
      <c r="C76" s="182" t="s">
        <v>119</v>
      </c>
      <c r="D76" s="77">
        <v>0</v>
      </c>
      <c r="E76" s="78">
        <v>0</v>
      </c>
    </row>
    <row r="77" spans="2:5" ht="13.5" thickBot="1">
      <c r="B77" s="185" t="s">
        <v>8</v>
      </c>
      <c r="C77" s="186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73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1951982.93</v>
      </c>
      <c r="E11" s="229">
        <f>SUM(E12:E14)</f>
        <v>1565515.8599999999</v>
      </c>
    </row>
    <row r="12" spans="2:7">
      <c r="B12" s="105" t="s">
        <v>4</v>
      </c>
      <c r="C12" s="6" t="s">
        <v>5</v>
      </c>
      <c r="D12" s="245">
        <v>1951982.93</v>
      </c>
      <c r="E12" s="251">
        <f>1558976.91+3538.95</f>
        <v>1562515.8599999999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>
        <f>E15</f>
        <v>3000</v>
      </c>
    </row>
    <row r="15" spans="2:7">
      <c r="B15" s="105" t="s">
        <v>106</v>
      </c>
      <c r="C15" s="68" t="s">
        <v>11</v>
      </c>
      <c r="D15" s="241"/>
      <c r="E15" s="252">
        <v>3000</v>
      </c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3286.13</v>
      </c>
      <c r="E17" s="254">
        <f>E18</f>
        <v>2778.43</v>
      </c>
    </row>
    <row r="18" spans="2:6">
      <c r="B18" s="105" t="s">
        <v>4</v>
      </c>
      <c r="C18" s="6" t="s">
        <v>11</v>
      </c>
      <c r="D18" s="243">
        <v>3286.13</v>
      </c>
      <c r="E18" s="253">
        <v>2778.43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1948696.8</v>
      </c>
      <c r="E21" s="147">
        <f>E11-E17</f>
        <v>1562737.43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2161400.2899999996</v>
      </c>
      <c r="E26" s="219">
        <f>D21</f>
        <v>1948696.8</v>
      </c>
    </row>
    <row r="27" spans="2:6">
      <c r="B27" s="9" t="s">
        <v>17</v>
      </c>
      <c r="C27" s="10" t="s">
        <v>111</v>
      </c>
      <c r="D27" s="198">
        <v>-288566.25</v>
      </c>
      <c r="E27" s="292">
        <f>E28-E32</f>
        <v>-72989.95</v>
      </c>
      <c r="F27" s="71"/>
    </row>
    <row r="28" spans="2:6">
      <c r="B28" s="9" t="s">
        <v>18</v>
      </c>
      <c r="C28" s="10" t="s">
        <v>19</v>
      </c>
      <c r="D28" s="198">
        <v>67.67</v>
      </c>
      <c r="E28" s="293">
        <v>0</v>
      </c>
      <c r="F28" s="71"/>
    </row>
    <row r="29" spans="2:6">
      <c r="B29" s="103" t="s">
        <v>4</v>
      </c>
      <c r="C29" s="171" t="s">
        <v>20</v>
      </c>
      <c r="D29" s="199"/>
      <c r="E29" s="295"/>
      <c r="F29" s="71"/>
    </row>
    <row r="30" spans="2:6">
      <c r="B30" s="103" t="s">
        <v>6</v>
      </c>
      <c r="C30" s="171" t="s">
        <v>21</v>
      </c>
      <c r="D30" s="199"/>
      <c r="E30" s="295"/>
      <c r="F30" s="71"/>
    </row>
    <row r="31" spans="2:6">
      <c r="B31" s="103" t="s">
        <v>8</v>
      </c>
      <c r="C31" s="171" t="s">
        <v>22</v>
      </c>
      <c r="D31" s="199">
        <v>67.67</v>
      </c>
      <c r="E31" s="295"/>
      <c r="F31" s="71"/>
    </row>
    <row r="32" spans="2:6">
      <c r="B32" s="91" t="s">
        <v>23</v>
      </c>
      <c r="C32" s="11" t="s">
        <v>24</v>
      </c>
      <c r="D32" s="198">
        <v>288633.92</v>
      </c>
      <c r="E32" s="293">
        <f>SUM(E33:E39)</f>
        <v>72989.95</v>
      </c>
      <c r="F32" s="71"/>
    </row>
    <row r="33" spans="2:6">
      <c r="B33" s="103" t="s">
        <v>4</v>
      </c>
      <c r="C33" s="171" t="s">
        <v>25</v>
      </c>
      <c r="D33" s="199">
        <v>275039.90999999997</v>
      </c>
      <c r="E33" s="295">
        <f>60515.14-2076.78</f>
        <v>58438.36</v>
      </c>
      <c r="F33" s="71"/>
    </row>
    <row r="34" spans="2:6">
      <c r="B34" s="103" t="s">
        <v>6</v>
      </c>
      <c r="C34" s="171" t="s">
        <v>26</v>
      </c>
      <c r="D34" s="199"/>
      <c r="E34" s="295"/>
      <c r="F34" s="71"/>
    </row>
    <row r="35" spans="2:6">
      <c r="B35" s="103" t="s">
        <v>8</v>
      </c>
      <c r="C35" s="171" t="s">
        <v>27</v>
      </c>
      <c r="D35" s="199">
        <v>12917.36</v>
      </c>
      <c r="E35" s="295">
        <v>14473.8</v>
      </c>
      <c r="F35" s="71"/>
    </row>
    <row r="36" spans="2:6">
      <c r="B36" s="103" t="s">
        <v>9</v>
      </c>
      <c r="C36" s="171" t="s">
        <v>28</v>
      </c>
      <c r="D36" s="199"/>
      <c r="E36" s="295"/>
      <c r="F36" s="71"/>
    </row>
    <row r="37" spans="2:6" ht="25.5">
      <c r="B37" s="103" t="s">
        <v>29</v>
      </c>
      <c r="C37" s="171" t="s">
        <v>30</v>
      </c>
      <c r="D37" s="199"/>
      <c r="E37" s="295"/>
      <c r="F37" s="71"/>
    </row>
    <row r="38" spans="2:6">
      <c r="B38" s="103" t="s">
        <v>31</v>
      </c>
      <c r="C38" s="171" t="s">
        <v>32</v>
      </c>
      <c r="D38" s="199"/>
      <c r="E38" s="295"/>
      <c r="F38" s="71"/>
    </row>
    <row r="39" spans="2:6">
      <c r="B39" s="104" t="s">
        <v>33</v>
      </c>
      <c r="C39" s="180" t="s">
        <v>34</v>
      </c>
      <c r="D39" s="200">
        <v>676.65</v>
      </c>
      <c r="E39" s="297">
        <v>77.790000000000006</v>
      </c>
      <c r="F39" s="71"/>
    </row>
    <row r="40" spans="2:6" ht="13.5" thickBot="1">
      <c r="B40" s="96" t="s">
        <v>35</v>
      </c>
      <c r="C40" s="97" t="s">
        <v>36</v>
      </c>
      <c r="D40" s="201">
        <v>161288.68</v>
      </c>
      <c r="E40" s="306">
        <v>-312969.42</v>
      </c>
    </row>
    <row r="41" spans="2:6" ht="13.5" thickBot="1">
      <c r="B41" s="98" t="s">
        <v>37</v>
      </c>
      <c r="C41" s="99" t="s">
        <v>38</v>
      </c>
      <c r="D41" s="202">
        <v>2034122.7199999995</v>
      </c>
      <c r="E41" s="147">
        <f>E26+E27+E40</f>
        <v>1562737.4300000002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82" t="s">
        <v>40</v>
      </c>
      <c r="D47" s="203">
        <v>344905.10879999999</v>
      </c>
      <c r="E47" s="73">
        <v>282730.88414400001</v>
      </c>
    </row>
    <row r="48" spans="2:6">
      <c r="B48" s="122" t="s">
        <v>6</v>
      </c>
      <c r="C48" s="184" t="s">
        <v>41</v>
      </c>
      <c r="D48" s="203">
        <v>301836.72122100001</v>
      </c>
      <c r="E48" s="73">
        <v>271078.81206299999</v>
      </c>
    </row>
    <row r="49" spans="2:5">
      <c r="B49" s="119" t="s">
        <v>23</v>
      </c>
      <c r="C49" s="123" t="s">
        <v>113</v>
      </c>
      <c r="D49" s="204"/>
      <c r="E49" s="73"/>
    </row>
    <row r="50" spans="2:5">
      <c r="B50" s="101" t="s">
        <v>4</v>
      </c>
      <c r="C50" s="182" t="s">
        <v>40</v>
      </c>
      <c r="D50" s="203">
        <v>6.2666519999999997</v>
      </c>
      <c r="E50" s="73">
        <v>6.8924089999999998</v>
      </c>
    </row>
    <row r="51" spans="2:5">
      <c r="B51" s="101" t="s">
        <v>6</v>
      </c>
      <c r="C51" s="182" t="s">
        <v>114</v>
      </c>
      <c r="D51" s="203">
        <v>6.2491539999999999</v>
      </c>
      <c r="E51" s="73">
        <v>5.0300070000000003</v>
      </c>
    </row>
    <row r="52" spans="2:5" ht="12.75" customHeight="1">
      <c r="B52" s="101" t="s">
        <v>8</v>
      </c>
      <c r="C52" s="182" t="s">
        <v>115</v>
      </c>
      <c r="D52" s="203">
        <v>6.9216569999999997</v>
      </c>
      <c r="E52" s="73">
        <v>6.9272099999999996</v>
      </c>
    </row>
    <row r="53" spans="2:5" ht="13.5" thickBot="1">
      <c r="B53" s="102" t="s">
        <v>9</v>
      </c>
      <c r="C53" s="186" t="s">
        <v>41</v>
      </c>
      <c r="D53" s="205">
        <v>6.7391490000000003</v>
      </c>
      <c r="E53" s="309">
        <v>5.7648820000000001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D64+D69</f>
        <v>1562515.86</v>
      </c>
      <c r="E58" s="31">
        <f>D58/E21</f>
        <v>0.99985821674470299</v>
      </c>
    </row>
    <row r="59" spans="2:5" ht="25.5">
      <c r="B59" s="183" t="s">
        <v>4</v>
      </c>
      <c r="C59" s="184" t="s">
        <v>44</v>
      </c>
      <c r="D59" s="79">
        <v>0</v>
      </c>
      <c r="E59" s="80">
        <v>0</v>
      </c>
    </row>
    <row r="60" spans="2:5" ht="24" customHeight="1">
      <c r="B60" s="181" t="s">
        <v>6</v>
      </c>
      <c r="C60" s="182" t="s">
        <v>45</v>
      </c>
      <c r="D60" s="77">
        <v>0</v>
      </c>
      <c r="E60" s="78">
        <v>0</v>
      </c>
    </row>
    <row r="61" spans="2:5">
      <c r="B61" s="181" t="s">
        <v>8</v>
      </c>
      <c r="C61" s="182" t="s">
        <v>46</v>
      </c>
      <c r="D61" s="77">
        <v>0</v>
      </c>
      <c r="E61" s="78">
        <v>0</v>
      </c>
    </row>
    <row r="62" spans="2:5">
      <c r="B62" s="181" t="s">
        <v>9</v>
      </c>
      <c r="C62" s="182" t="s">
        <v>47</v>
      </c>
      <c r="D62" s="77">
        <v>0</v>
      </c>
      <c r="E62" s="78">
        <v>0</v>
      </c>
    </row>
    <row r="63" spans="2:5">
      <c r="B63" s="181" t="s">
        <v>29</v>
      </c>
      <c r="C63" s="182" t="s">
        <v>48</v>
      </c>
      <c r="D63" s="77">
        <v>0</v>
      </c>
      <c r="E63" s="78">
        <v>0</v>
      </c>
    </row>
    <row r="64" spans="2:5">
      <c r="B64" s="183" t="s">
        <v>31</v>
      </c>
      <c r="C64" s="184" t="s">
        <v>49</v>
      </c>
      <c r="D64" s="79">
        <v>1558976.9100000001</v>
      </c>
      <c r="E64" s="80">
        <f>D64/E21</f>
        <v>0.99759363286000013</v>
      </c>
    </row>
    <row r="65" spans="2:5">
      <c r="B65" s="183" t="s">
        <v>33</v>
      </c>
      <c r="C65" s="184" t="s">
        <v>118</v>
      </c>
      <c r="D65" s="79">
        <v>0</v>
      </c>
      <c r="E65" s="80">
        <v>0</v>
      </c>
    </row>
    <row r="66" spans="2:5">
      <c r="B66" s="183" t="s">
        <v>50</v>
      </c>
      <c r="C66" s="184" t="s">
        <v>51</v>
      </c>
      <c r="D66" s="79">
        <v>0</v>
      </c>
      <c r="E66" s="80">
        <v>0</v>
      </c>
    </row>
    <row r="67" spans="2:5">
      <c r="B67" s="181" t="s">
        <v>52</v>
      </c>
      <c r="C67" s="182" t="s">
        <v>53</v>
      </c>
      <c r="D67" s="77">
        <v>0</v>
      </c>
      <c r="E67" s="78">
        <v>0</v>
      </c>
    </row>
    <row r="68" spans="2:5">
      <c r="B68" s="181" t="s">
        <v>54</v>
      </c>
      <c r="C68" s="182" t="s">
        <v>55</v>
      </c>
      <c r="D68" s="77">
        <v>0</v>
      </c>
      <c r="E68" s="78">
        <v>0</v>
      </c>
    </row>
    <row r="69" spans="2:5">
      <c r="B69" s="181" t="s">
        <v>56</v>
      </c>
      <c r="C69" s="182" t="s">
        <v>57</v>
      </c>
      <c r="D69" s="239">
        <v>3538.95</v>
      </c>
      <c r="E69" s="78">
        <f>D69/E21</f>
        <v>2.2645838847028831E-3</v>
      </c>
    </row>
    <row r="70" spans="2:5">
      <c r="B70" s="223" t="s">
        <v>58</v>
      </c>
      <c r="C70" s="22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3000</v>
      </c>
      <c r="E72" s="118">
        <f>D72/E21</f>
        <v>1.9197082903427993E-3</v>
      </c>
    </row>
    <row r="73" spans="2:5">
      <c r="B73" s="131" t="s">
        <v>62</v>
      </c>
      <c r="C73" s="24" t="s">
        <v>65</v>
      </c>
      <c r="D73" s="25">
        <f>E17</f>
        <v>2778.43</v>
      </c>
      <c r="E73" s="26">
        <f>D73/E21</f>
        <v>1.7779250350457147E-3</v>
      </c>
    </row>
    <row r="74" spans="2:5">
      <c r="B74" s="129" t="s">
        <v>64</v>
      </c>
      <c r="C74" s="120" t="s">
        <v>66</v>
      </c>
      <c r="D74" s="121">
        <f>D58+D72-D73</f>
        <v>1562737.4300000002</v>
      </c>
      <c r="E74" s="66">
        <f>E58+E72-E73</f>
        <v>1</v>
      </c>
    </row>
    <row r="75" spans="2:5">
      <c r="B75" s="181" t="s">
        <v>4</v>
      </c>
      <c r="C75" s="182" t="s">
        <v>67</v>
      </c>
      <c r="D75" s="77">
        <f>D74</f>
        <v>1562737.4300000002</v>
      </c>
      <c r="E75" s="78">
        <f>E74</f>
        <v>1</v>
      </c>
    </row>
    <row r="76" spans="2:5">
      <c r="B76" s="181" t="s">
        <v>6</v>
      </c>
      <c r="C76" s="182" t="s">
        <v>119</v>
      </c>
      <c r="D76" s="77">
        <v>0</v>
      </c>
      <c r="E76" s="78">
        <v>0</v>
      </c>
    </row>
    <row r="77" spans="2:5" ht="13.5" thickBot="1">
      <c r="B77" s="185" t="s">
        <v>8</v>
      </c>
      <c r="C77" s="186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76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3027505.17</v>
      </c>
      <c r="E11" s="229">
        <f>SUM(E12:E14)</f>
        <v>2750613.71</v>
      </c>
    </row>
    <row r="12" spans="2:7">
      <c r="B12" s="105" t="s">
        <v>4</v>
      </c>
      <c r="C12" s="6" t="s">
        <v>5</v>
      </c>
      <c r="D12" s="245">
        <v>3027505.17</v>
      </c>
      <c r="E12" s="251">
        <f>2739776.79+6246.04-409.12</f>
        <v>2745613.71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>
        <f>E15</f>
        <v>5000</v>
      </c>
    </row>
    <row r="15" spans="2:7">
      <c r="B15" s="105" t="s">
        <v>106</v>
      </c>
      <c r="C15" s="68" t="s">
        <v>11</v>
      </c>
      <c r="D15" s="241"/>
      <c r="E15" s="252">
        <v>5000</v>
      </c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5174.76</v>
      </c>
      <c r="E17" s="254">
        <f>E18</f>
        <v>4600.3500000000004</v>
      </c>
    </row>
    <row r="18" spans="2:6">
      <c r="B18" s="105" t="s">
        <v>4</v>
      </c>
      <c r="C18" s="6" t="s">
        <v>11</v>
      </c>
      <c r="D18" s="243">
        <v>5174.76</v>
      </c>
      <c r="E18" s="253">
        <v>4600.3500000000004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3022330.41</v>
      </c>
      <c r="E21" s="147">
        <f>E11-E17</f>
        <v>2746013.36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3527086.4599999995</v>
      </c>
      <c r="E26" s="219">
        <f>D21</f>
        <v>3022330.41</v>
      </c>
    </row>
    <row r="27" spans="2:6">
      <c r="B27" s="9" t="s">
        <v>17</v>
      </c>
      <c r="C27" s="10" t="s">
        <v>111</v>
      </c>
      <c r="D27" s="198">
        <v>-372899.97</v>
      </c>
      <c r="E27" s="292">
        <f>E28-E32</f>
        <v>-163574.39999999999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372899.97</v>
      </c>
      <c r="E32" s="293">
        <f>SUM(E33:E39)</f>
        <v>163574.39999999999</v>
      </c>
      <c r="F32" s="71"/>
    </row>
    <row r="33" spans="2:6">
      <c r="B33" s="103" t="s">
        <v>4</v>
      </c>
      <c r="C33" s="6" t="s">
        <v>25</v>
      </c>
      <c r="D33" s="199">
        <v>333180.52</v>
      </c>
      <c r="E33" s="295">
        <f>152028.1-3171.01</f>
        <v>148857.09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13667.23</v>
      </c>
      <c r="E35" s="295">
        <v>14671.98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26052.22</v>
      </c>
      <c r="E39" s="297">
        <v>45.33</v>
      </c>
      <c r="F39" s="71"/>
    </row>
    <row r="40" spans="2:6" ht="13.5" thickBot="1">
      <c r="B40" s="96" t="s">
        <v>35</v>
      </c>
      <c r="C40" s="97" t="s">
        <v>36</v>
      </c>
      <c r="D40" s="201">
        <v>26333.09</v>
      </c>
      <c r="E40" s="306">
        <v>-112742.65</v>
      </c>
    </row>
    <row r="41" spans="2:6" ht="13.5" thickBot="1">
      <c r="B41" s="98" t="s">
        <v>37</v>
      </c>
      <c r="C41" s="99" t="s">
        <v>38</v>
      </c>
      <c r="D41" s="202">
        <v>3180519.5799999991</v>
      </c>
      <c r="E41" s="147">
        <f>E26+E27+E40</f>
        <v>2746013.3600000003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337432.93696999998</v>
      </c>
      <c r="E47" s="73">
        <v>286019.73003599996</v>
      </c>
    </row>
    <row r="48" spans="2:6">
      <c r="B48" s="122" t="s">
        <v>6</v>
      </c>
      <c r="C48" s="22" t="s">
        <v>41</v>
      </c>
      <c r="D48" s="203">
        <v>302008.72700200003</v>
      </c>
      <c r="E48" s="73">
        <v>270095.59739299997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10.452704000000001</v>
      </c>
      <c r="E50" s="73">
        <v>10.56686</v>
      </c>
    </row>
    <row r="51" spans="2:5">
      <c r="B51" s="101" t="s">
        <v>6</v>
      </c>
      <c r="C51" s="15" t="s">
        <v>114</v>
      </c>
      <c r="D51" s="203">
        <v>10.422288999999999</v>
      </c>
      <c r="E51" s="74">
        <v>9.9116029999999995</v>
      </c>
    </row>
    <row r="52" spans="2:5" ht="12" customHeight="1">
      <c r="B52" s="101" t="s">
        <v>8</v>
      </c>
      <c r="C52" s="15" t="s">
        <v>115</v>
      </c>
      <c r="D52" s="203">
        <v>10.646007000000001</v>
      </c>
      <c r="E52" s="74">
        <v>10.66953</v>
      </c>
    </row>
    <row r="53" spans="2:5" ht="13.5" thickBot="1">
      <c r="B53" s="102" t="s">
        <v>9</v>
      </c>
      <c r="C53" s="17" t="s">
        <v>41</v>
      </c>
      <c r="D53" s="205">
        <v>10.531217</v>
      </c>
      <c r="E53" s="309">
        <v>10.16682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D64+D69</f>
        <v>2745613.71</v>
      </c>
      <c r="E58" s="31">
        <f>D58/E21</f>
        <v>0.99985446174231285</v>
      </c>
    </row>
    <row r="59" spans="2:5" ht="25.5">
      <c r="B59" s="183" t="s">
        <v>4</v>
      </c>
      <c r="C59" s="184" t="s">
        <v>44</v>
      </c>
      <c r="D59" s="79">
        <v>0</v>
      </c>
      <c r="E59" s="80">
        <v>0</v>
      </c>
    </row>
    <row r="60" spans="2:5" ht="24" customHeight="1">
      <c r="B60" s="181" t="s">
        <v>6</v>
      </c>
      <c r="C60" s="182" t="s">
        <v>45</v>
      </c>
      <c r="D60" s="77">
        <v>0</v>
      </c>
      <c r="E60" s="78">
        <v>0</v>
      </c>
    </row>
    <row r="61" spans="2:5">
      <c r="B61" s="181" t="s">
        <v>8</v>
      </c>
      <c r="C61" s="182" t="s">
        <v>46</v>
      </c>
      <c r="D61" s="77">
        <v>0</v>
      </c>
      <c r="E61" s="78">
        <v>0</v>
      </c>
    </row>
    <row r="62" spans="2:5">
      <c r="B62" s="181" t="s">
        <v>9</v>
      </c>
      <c r="C62" s="182" t="s">
        <v>47</v>
      </c>
      <c r="D62" s="77">
        <v>0</v>
      </c>
      <c r="E62" s="78">
        <v>0</v>
      </c>
    </row>
    <row r="63" spans="2:5">
      <c r="B63" s="181" t="s">
        <v>29</v>
      </c>
      <c r="C63" s="182" t="s">
        <v>48</v>
      </c>
      <c r="D63" s="77">
        <v>0</v>
      </c>
      <c r="E63" s="78">
        <v>0</v>
      </c>
    </row>
    <row r="64" spans="2:5">
      <c r="B64" s="183" t="s">
        <v>31</v>
      </c>
      <c r="C64" s="184" t="s">
        <v>49</v>
      </c>
      <c r="D64" s="79">
        <f>2739776.79-409.12</f>
        <v>2739367.67</v>
      </c>
      <c r="E64" s="80">
        <f>D64/E21</f>
        <v>0.99757987703308193</v>
      </c>
    </row>
    <row r="65" spans="2:5">
      <c r="B65" s="183" t="s">
        <v>33</v>
      </c>
      <c r="C65" s="184" t="s">
        <v>118</v>
      </c>
      <c r="D65" s="79">
        <v>0</v>
      </c>
      <c r="E65" s="80">
        <v>0</v>
      </c>
    </row>
    <row r="66" spans="2:5">
      <c r="B66" s="183" t="s">
        <v>50</v>
      </c>
      <c r="C66" s="184" t="s">
        <v>51</v>
      </c>
      <c r="D66" s="79">
        <v>0</v>
      </c>
      <c r="E66" s="80">
        <v>0</v>
      </c>
    </row>
    <row r="67" spans="2:5">
      <c r="B67" s="181" t="s">
        <v>52</v>
      </c>
      <c r="C67" s="182" t="s">
        <v>53</v>
      </c>
      <c r="D67" s="77">
        <v>0</v>
      </c>
      <c r="E67" s="78">
        <v>0</v>
      </c>
    </row>
    <row r="68" spans="2:5">
      <c r="B68" s="181" t="s">
        <v>54</v>
      </c>
      <c r="C68" s="182" t="s">
        <v>55</v>
      </c>
      <c r="D68" s="77">
        <v>0</v>
      </c>
      <c r="E68" s="78">
        <v>0</v>
      </c>
    </row>
    <row r="69" spans="2:5">
      <c r="B69" s="181" t="s">
        <v>56</v>
      </c>
      <c r="C69" s="182" t="s">
        <v>57</v>
      </c>
      <c r="D69" s="239">
        <v>6246.04</v>
      </c>
      <c r="E69" s="78">
        <f>D69/E21</f>
        <v>2.2745847092309852E-3</v>
      </c>
    </row>
    <row r="70" spans="2:5">
      <c r="B70" s="223" t="s">
        <v>58</v>
      </c>
      <c r="C70" s="22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5000</v>
      </c>
      <c r="E72" s="118">
        <f>D72/E21</f>
        <v>1.8208214398490765E-3</v>
      </c>
    </row>
    <row r="73" spans="2:5">
      <c r="B73" s="131" t="s">
        <v>62</v>
      </c>
      <c r="C73" s="24" t="s">
        <v>65</v>
      </c>
      <c r="D73" s="25">
        <f>E17</f>
        <v>4600.3500000000004</v>
      </c>
      <c r="E73" s="26">
        <f>D73/E21</f>
        <v>1.6752831821619399E-3</v>
      </c>
    </row>
    <row r="74" spans="2:5">
      <c r="B74" s="129" t="s">
        <v>64</v>
      </c>
      <c r="C74" s="120" t="s">
        <v>66</v>
      </c>
      <c r="D74" s="121">
        <f>D58+D72-D73</f>
        <v>2746013.36</v>
      </c>
      <c r="E74" s="66">
        <f>E58+E72-E73</f>
        <v>1</v>
      </c>
    </row>
    <row r="75" spans="2:5">
      <c r="B75" s="181" t="s">
        <v>4</v>
      </c>
      <c r="C75" s="182" t="s">
        <v>67</v>
      </c>
      <c r="D75" s="77">
        <f>D74</f>
        <v>2746013.36</v>
      </c>
      <c r="E75" s="78">
        <f>E74</f>
        <v>1</v>
      </c>
    </row>
    <row r="76" spans="2:5">
      <c r="B76" s="181" t="s">
        <v>6</v>
      </c>
      <c r="C76" s="182" t="s">
        <v>119</v>
      </c>
      <c r="D76" s="77">
        <v>0</v>
      </c>
      <c r="E76" s="78">
        <v>0</v>
      </c>
    </row>
    <row r="77" spans="2:5" ht="13.5" thickBot="1">
      <c r="B77" s="185" t="s">
        <v>8</v>
      </c>
      <c r="C77" s="186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F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86"/>
      <c r="C4" s="86"/>
      <c r="D4" s="86"/>
      <c r="E4" s="86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75</v>
      </c>
      <c r="C6" s="351"/>
      <c r="D6" s="351"/>
      <c r="E6" s="351"/>
    </row>
    <row r="7" spans="2:5" ht="14.25">
      <c r="B7" s="88"/>
      <c r="C7" s="88"/>
      <c r="D7" s="88"/>
      <c r="E7" s="8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227"/>
      <c r="C10" s="211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4269988.3100000005</v>
      </c>
      <c r="E11" s="229">
        <f>SUM(E12:E14)</f>
        <v>3875098.28</v>
      </c>
    </row>
    <row r="12" spans="2:5">
      <c r="B12" s="170" t="s">
        <v>4</v>
      </c>
      <c r="C12" s="171" t="s">
        <v>5</v>
      </c>
      <c r="D12" s="245">
        <v>4269988.3100000005</v>
      </c>
      <c r="E12" s="251">
        <f>3867116.92+6141.65-8160.29</f>
        <v>3865098.28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>
        <f>E15</f>
        <v>10000</v>
      </c>
    </row>
    <row r="15" spans="2:5">
      <c r="B15" s="170" t="s">
        <v>106</v>
      </c>
      <c r="C15" s="172" t="s">
        <v>11</v>
      </c>
      <c r="D15" s="241"/>
      <c r="E15" s="252">
        <v>10000</v>
      </c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7178.01</v>
      </c>
      <c r="E17" s="254">
        <f>E18</f>
        <v>6429.61</v>
      </c>
    </row>
    <row r="18" spans="2:6">
      <c r="B18" s="170" t="s">
        <v>4</v>
      </c>
      <c r="C18" s="171" t="s">
        <v>11</v>
      </c>
      <c r="D18" s="243">
        <v>7178.01</v>
      </c>
      <c r="E18" s="253">
        <v>6429.61</v>
      </c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4262810.3000000007</v>
      </c>
      <c r="E21" s="147">
        <f>E11-E17</f>
        <v>3868668.67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27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4703040.8100000005</v>
      </c>
      <c r="E26" s="219">
        <f>D21</f>
        <v>4262810.3000000007</v>
      </c>
    </row>
    <row r="27" spans="2:6">
      <c r="B27" s="9" t="s">
        <v>17</v>
      </c>
      <c r="C27" s="10" t="s">
        <v>111</v>
      </c>
      <c r="D27" s="198">
        <v>-243125.91</v>
      </c>
      <c r="E27" s="292">
        <f>E28-E32</f>
        <v>-162760.31999999998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243125.91</v>
      </c>
      <c r="E32" s="293">
        <f>SUM(E33:E39)</f>
        <v>162760.31999999998</v>
      </c>
      <c r="F32" s="71"/>
    </row>
    <row r="33" spans="2:6">
      <c r="B33" s="178" t="s">
        <v>4</v>
      </c>
      <c r="C33" s="171" t="s">
        <v>25</v>
      </c>
      <c r="D33" s="199">
        <v>222160.69</v>
      </c>
      <c r="E33" s="295">
        <f>133411.1+4895.02</f>
        <v>138306.12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20953.46</v>
      </c>
      <c r="E35" s="295">
        <v>24316.43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/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11.76</v>
      </c>
      <c r="E39" s="297">
        <v>137.77000000000001</v>
      </c>
      <c r="F39" s="71"/>
    </row>
    <row r="40" spans="2:6" ht="13.5" thickBot="1">
      <c r="B40" s="96" t="s">
        <v>35</v>
      </c>
      <c r="C40" s="97" t="s">
        <v>36</v>
      </c>
      <c r="D40" s="201">
        <v>52216.11</v>
      </c>
      <c r="E40" s="306">
        <v>-231381.31</v>
      </c>
    </row>
    <row r="41" spans="2:6" ht="13.5" thickBot="1">
      <c r="B41" s="98" t="s">
        <v>37</v>
      </c>
      <c r="C41" s="99" t="s">
        <v>38</v>
      </c>
      <c r="D41" s="202">
        <v>4512131.0100000007</v>
      </c>
      <c r="E41" s="147">
        <f>E26+E27+E40</f>
        <v>3868668.6700000009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2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486028.44018899999</v>
      </c>
      <c r="E47" s="73">
        <v>434875.47665999999</v>
      </c>
    </row>
    <row r="48" spans="2:6">
      <c r="B48" s="183" t="s">
        <v>6</v>
      </c>
      <c r="C48" s="184" t="s">
        <v>41</v>
      </c>
      <c r="D48" s="203">
        <v>461137.27739200002</v>
      </c>
      <c r="E48" s="73">
        <v>417735.36892400001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81" t="s">
        <v>4</v>
      </c>
      <c r="C50" s="182" t="s">
        <v>40</v>
      </c>
      <c r="D50" s="203">
        <v>9.6764720000000004</v>
      </c>
      <c r="E50" s="73">
        <v>9.8023699999999998</v>
      </c>
    </row>
    <row r="51" spans="2:5">
      <c r="B51" s="181" t="s">
        <v>6</v>
      </c>
      <c r="C51" s="182" t="s">
        <v>114</v>
      </c>
      <c r="D51" s="203">
        <v>9.6598679999999995</v>
      </c>
      <c r="E51" s="73">
        <v>9.0750499999999992</v>
      </c>
    </row>
    <row r="52" spans="2:5" ht="12.75" customHeight="1">
      <c r="B52" s="181" t="s">
        <v>8</v>
      </c>
      <c r="C52" s="182" t="s">
        <v>115</v>
      </c>
      <c r="D52" s="203">
        <v>9.8492879999999996</v>
      </c>
      <c r="E52" s="74">
        <v>9.8724000000000007</v>
      </c>
    </row>
    <row r="53" spans="2:5" ht="13.5" thickBot="1">
      <c r="B53" s="185" t="s">
        <v>9</v>
      </c>
      <c r="C53" s="186" t="s">
        <v>41</v>
      </c>
      <c r="D53" s="205">
        <v>9.7847880000000007</v>
      </c>
      <c r="E53" s="309">
        <v>9.2610510000000001</v>
      </c>
    </row>
    <row r="54" spans="2:5">
      <c r="B54" s="187"/>
      <c r="C54" s="188"/>
      <c r="D54" s="110"/>
      <c r="E54" s="110"/>
    </row>
    <row r="55" spans="2:5" ht="13.5">
      <c r="B55" s="354" t="s">
        <v>62</v>
      </c>
      <c r="C55" s="366"/>
      <c r="D55" s="366"/>
      <c r="E55" s="366"/>
    </row>
    <row r="56" spans="2:5" ht="16.5" customHeight="1" thickBot="1">
      <c r="B56" s="352" t="s">
        <v>116</v>
      </c>
      <c r="C56" s="365"/>
      <c r="D56" s="365"/>
      <c r="E56" s="365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D64+D69</f>
        <v>3865098.28</v>
      </c>
      <c r="E58" s="31">
        <f>D58/E21</f>
        <v>0.99907710111551107</v>
      </c>
    </row>
    <row r="59" spans="2:5" ht="25.5">
      <c r="B59" s="183" t="s">
        <v>4</v>
      </c>
      <c r="C59" s="184" t="s">
        <v>44</v>
      </c>
      <c r="D59" s="79">
        <v>0</v>
      </c>
      <c r="E59" s="80">
        <v>0</v>
      </c>
    </row>
    <row r="60" spans="2:5" ht="24" customHeight="1">
      <c r="B60" s="181" t="s">
        <v>6</v>
      </c>
      <c r="C60" s="182" t="s">
        <v>45</v>
      </c>
      <c r="D60" s="77">
        <v>0</v>
      </c>
      <c r="E60" s="78">
        <v>0</v>
      </c>
    </row>
    <row r="61" spans="2:5">
      <c r="B61" s="181" t="s">
        <v>8</v>
      </c>
      <c r="C61" s="182" t="s">
        <v>46</v>
      </c>
      <c r="D61" s="77">
        <v>0</v>
      </c>
      <c r="E61" s="78">
        <v>0</v>
      </c>
    </row>
    <row r="62" spans="2:5">
      <c r="B62" s="181" t="s">
        <v>9</v>
      </c>
      <c r="C62" s="182" t="s">
        <v>47</v>
      </c>
      <c r="D62" s="77">
        <v>0</v>
      </c>
      <c r="E62" s="78">
        <v>0</v>
      </c>
    </row>
    <row r="63" spans="2:5">
      <c r="B63" s="181" t="s">
        <v>29</v>
      </c>
      <c r="C63" s="182" t="s">
        <v>48</v>
      </c>
      <c r="D63" s="77">
        <v>0</v>
      </c>
      <c r="E63" s="78">
        <v>0</v>
      </c>
    </row>
    <row r="64" spans="2:5">
      <c r="B64" s="183" t="s">
        <v>31</v>
      </c>
      <c r="C64" s="184" t="s">
        <v>49</v>
      </c>
      <c r="D64" s="79">
        <f>3867116.92-8160.29</f>
        <v>3858956.63</v>
      </c>
      <c r="E64" s="80">
        <f>D64/E21</f>
        <v>0.99748956531860355</v>
      </c>
    </row>
    <row r="65" spans="2:5">
      <c r="B65" s="183" t="s">
        <v>33</v>
      </c>
      <c r="C65" s="184" t="s">
        <v>118</v>
      </c>
      <c r="D65" s="79">
        <v>0</v>
      </c>
      <c r="E65" s="80">
        <v>0</v>
      </c>
    </row>
    <row r="66" spans="2:5">
      <c r="B66" s="183" t="s">
        <v>50</v>
      </c>
      <c r="C66" s="184" t="s">
        <v>51</v>
      </c>
      <c r="D66" s="79">
        <v>0</v>
      </c>
      <c r="E66" s="80">
        <v>0</v>
      </c>
    </row>
    <row r="67" spans="2:5">
      <c r="B67" s="181" t="s">
        <v>52</v>
      </c>
      <c r="C67" s="182" t="s">
        <v>53</v>
      </c>
      <c r="D67" s="77">
        <v>0</v>
      </c>
      <c r="E67" s="78">
        <v>0</v>
      </c>
    </row>
    <row r="68" spans="2:5">
      <c r="B68" s="181" t="s">
        <v>54</v>
      </c>
      <c r="C68" s="182" t="s">
        <v>55</v>
      </c>
      <c r="D68" s="77">
        <v>0</v>
      </c>
      <c r="E68" s="78">
        <v>0</v>
      </c>
    </row>
    <row r="69" spans="2:5">
      <c r="B69" s="181" t="s">
        <v>56</v>
      </c>
      <c r="C69" s="182" t="s">
        <v>57</v>
      </c>
      <c r="D69" s="239">
        <v>6141.65</v>
      </c>
      <c r="E69" s="78">
        <f>D69/E21</f>
        <v>1.5875357969076219E-3</v>
      </c>
    </row>
    <row r="70" spans="2:5">
      <c r="B70" s="223" t="s">
        <v>58</v>
      </c>
      <c r="C70" s="22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10000</v>
      </c>
      <c r="E72" s="118">
        <f>D72/E21</f>
        <v>2.5848685563449919E-3</v>
      </c>
    </row>
    <row r="73" spans="2:5">
      <c r="B73" s="131" t="s">
        <v>62</v>
      </c>
      <c r="C73" s="24" t="s">
        <v>65</v>
      </c>
      <c r="D73" s="25">
        <f>E17</f>
        <v>6429.61</v>
      </c>
      <c r="E73" s="26">
        <f>D73/E21</f>
        <v>1.6619696718561323E-3</v>
      </c>
    </row>
    <row r="74" spans="2:5">
      <c r="B74" s="129" t="s">
        <v>64</v>
      </c>
      <c r="C74" s="120" t="s">
        <v>66</v>
      </c>
      <c r="D74" s="121">
        <f>D58+D72-D73</f>
        <v>3868668.67</v>
      </c>
      <c r="E74" s="66">
        <f>E58+E72-E73</f>
        <v>0.99999999999999989</v>
      </c>
    </row>
    <row r="75" spans="2:5">
      <c r="B75" s="181" t="s">
        <v>4</v>
      </c>
      <c r="C75" s="182" t="s">
        <v>67</v>
      </c>
      <c r="D75" s="77">
        <f>D74</f>
        <v>3868668.67</v>
      </c>
      <c r="E75" s="78">
        <f>E74</f>
        <v>0.99999999999999989</v>
      </c>
    </row>
    <row r="76" spans="2:5">
      <c r="B76" s="181" t="s">
        <v>6</v>
      </c>
      <c r="C76" s="182" t="s">
        <v>119</v>
      </c>
      <c r="D76" s="77">
        <v>0</v>
      </c>
      <c r="E76" s="78">
        <v>0</v>
      </c>
    </row>
    <row r="77" spans="2:5" ht="13.5" thickBot="1">
      <c r="B77" s="185" t="s">
        <v>8</v>
      </c>
      <c r="C77" s="186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4.5703125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86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5"/>
      <c r="C10" s="75" t="s">
        <v>2</v>
      </c>
      <c r="D10" s="271" t="s">
        <v>250</v>
      </c>
      <c r="E10" s="270" t="s">
        <v>264</v>
      </c>
    </row>
    <row r="11" spans="2:7">
      <c r="B11" s="89" t="s">
        <v>3</v>
      </c>
      <c r="C11" s="190" t="s">
        <v>109</v>
      </c>
      <c r="D11" s="228">
        <f>SUM(D12:D14)</f>
        <v>211742829.34</v>
      </c>
      <c r="E11" s="229">
        <f>SUM(E12:E14)</f>
        <v>205584123.00999999</v>
      </c>
    </row>
    <row r="12" spans="2:7">
      <c r="B12" s="105" t="s">
        <v>4</v>
      </c>
      <c r="C12" s="68" t="s">
        <v>5</v>
      </c>
      <c r="D12" s="245">
        <f>216242251.62+71869.72-5236017.74</f>
        <v>211078103.59999999</v>
      </c>
      <c r="E12" s="251">
        <f>209836238.63+176509.79-4963310.67</f>
        <v>205049437.75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>
        <f>D15</f>
        <v>664725.74</v>
      </c>
      <c r="E14" s="252">
        <f>E15</f>
        <v>534685.26</v>
      </c>
    </row>
    <row r="15" spans="2:7">
      <c r="B15" s="105" t="s">
        <v>106</v>
      </c>
      <c r="C15" s="68" t="s">
        <v>11</v>
      </c>
      <c r="D15" s="241">
        <v>664725.74</v>
      </c>
      <c r="E15" s="252">
        <v>534685.26</v>
      </c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212" t="s">
        <v>65</v>
      </c>
      <c r="D17" s="244">
        <f>D18</f>
        <v>968777.93</v>
      </c>
      <c r="E17" s="254">
        <f>E18</f>
        <v>279183.90999999997</v>
      </c>
    </row>
    <row r="18" spans="2:6">
      <c r="B18" s="105" t="s">
        <v>4</v>
      </c>
      <c r="C18" s="68" t="s">
        <v>11</v>
      </c>
      <c r="D18" s="243">
        <v>968777.93</v>
      </c>
      <c r="E18" s="253">
        <v>279183.90999999997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customHeight="1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f>D11-D17</f>
        <v>210774051.41</v>
      </c>
      <c r="E21" s="147">
        <f>E11-E17</f>
        <v>205304939.09999999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6.5" customHeight="1" thickBot="1">
      <c r="B24" s="352" t="s">
        <v>105</v>
      </c>
      <c r="C24" s="362"/>
      <c r="D24" s="362"/>
      <c r="E24" s="362"/>
    </row>
    <row r="25" spans="2:6" ht="13.5" thickBot="1">
      <c r="B25" s="85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216559372.22000003</v>
      </c>
      <c r="E26" s="219">
        <f>D21</f>
        <v>210774051.41</v>
      </c>
    </row>
    <row r="27" spans="2:6">
      <c r="B27" s="9" t="s">
        <v>17</v>
      </c>
      <c r="C27" s="10" t="s">
        <v>111</v>
      </c>
      <c r="D27" s="198">
        <v>-2805054.8099999987</v>
      </c>
      <c r="E27" s="292">
        <f>E28-E32</f>
        <v>-2382446.4399999995</v>
      </c>
      <c r="F27" s="71"/>
    </row>
    <row r="28" spans="2:6">
      <c r="B28" s="9" t="s">
        <v>18</v>
      </c>
      <c r="C28" s="10" t="s">
        <v>19</v>
      </c>
      <c r="D28" s="198">
        <v>13688917.970000001</v>
      </c>
      <c r="E28" s="293">
        <v>13706568.85</v>
      </c>
      <c r="F28" s="71"/>
    </row>
    <row r="29" spans="2:6">
      <c r="B29" s="103" t="s">
        <v>4</v>
      </c>
      <c r="C29" s="6" t="s">
        <v>20</v>
      </c>
      <c r="D29" s="199">
        <v>13229104.380000001</v>
      </c>
      <c r="E29" s="295">
        <v>12441522.640000001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459813.59</v>
      </c>
      <c r="E31" s="295">
        <v>1265046.2100000002</v>
      </c>
      <c r="F31" s="71"/>
    </row>
    <row r="32" spans="2:6">
      <c r="B32" s="91" t="s">
        <v>23</v>
      </c>
      <c r="C32" s="11" t="s">
        <v>24</v>
      </c>
      <c r="D32" s="198">
        <v>16493972.779999999</v>
      </c>
      <c r="E32" s="293">
        <f>SUM(E33:E39)</f>
        <v>16089015.289999999</v>
      </c>
      <c r="F32" s="71"/>
    </row>
    <row r="33" spans="2:6">
      <c r="B33" s="103" t="s">
        <v>4</v>
      </c>
      <c r="C33" s="6" t="s">
        <v>25</v>
      </c>
      <c r="D33" s="199">
        <v>11931270.539999999</v>
      </c>
      <c r="E33" s="295">
        <f>8788630.97-272707.07</f>
        <v>8515923.9000000004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2882991.52</v>
      </c>
      <c r="E35" s="295">
        <v>2780726.26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1679710.72</v>
      </c>
      <c r="E39" s="297">
        <v>4792365.13</v>
      </c>
      <c r="F39" s="71"/>
    </row>
    <row r="40" spans="2:6" ht="13.5" thickBot="1">
      <c r="B40" s="96" t="s">
        <v>35</v>
      </c>
      <c r="C40" s="97" t="s">
        <v>36</v>
      </c>
      <c r="D40" s="201">
        <v>8960120.9700000007</v>
      </c>
      <c r="E40" s="306">
        <v>-3086665.87</v>
      </c>
    </row>
    <row r="41" spans="2:6" ht="13.5" thickBot="1">
      <c r="B41" s="98" t="s">
        <v>37</v>
      </c>
      <c r="C41" s="99" t="s">
        <v>38</v>
      </c>
      <c r="D41" s="202">
        <v>222714438.38000003</v>
      </c>
      <c r="E41" s="147">
        <f>E26+E27+E40</f>
        <v>205304939.09999999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5.75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11883548.877800001</v>
      </c>
      <c r="E47" s="73">
        <v>11489564.341</v>
      </c>
    </row>
    <row r="48" spans="2:6">
      <c r="B48" s="122" t="s">
        <v>6</v>
      </c>
      <c r="C48" s="22" t="s">
        <v>41</v>
      </c>
      <c r="D48" s="203">
        <v>11748586.95764558</v>
      </c>
      <c r="E48" s="310">
        <v>11355628.7377</v>
      </c>
    </row>
    <row r="49" spans="2:5">
      <c r="B49" s="119" t="s">
        <v>23</v>
      </c>
      <c r="C49" s="123" t="s">
        <v>113</v>
      </c>
      <c r="D49" s="204"/>
      <c r="E49" s="274"/>
    </row>
    <row r="50" spans="2:5">
      <c r="B50" s="101" t="s">
        <v>4</v>
      </c>
      <c r="C50" s="15" t="s">
        <v>40</v>
      </c>
      <c r="D50" s="203">
        <v>18.223459544591801</v>
      </c>
      <c r="E50" s="237">
        <v>18.344799999999999</v>
      </c>
    </row>
    <row r="51" spans="2:5">
      <c r="B51" s="101" t="s">
        <v>6</v>
      </c>
      <c r="C51" s="15" t="s">
        <v>114</v>
      </c>
      <c r="D51" s="203">
        <v>17.9162</v>
      </c>
      <c r="E51" s="338">
        <v>12.6134</v>
      </c>
    </row>
    <row r="52" spans="2:5">
      <c r="B52" s="101" t="s">
        <v>8</v>
      </c>
      <c r="C52" s="15" t="s">
        <v>115</v>
      </c>
      <c r="D52" s="203">
        <v>19.8736</v>
      </c>
      <c r="E52" s="338">
        <v>19.058800000000002</v>
      </c>
    </row>
    <row r="53" spans="2:5" ht="12.75" customHeight="1" thickBot="1">
      <c r="B53" s="102" t="s">
        <v>9</v>
      </c>
      <c r="C53" s="17" t="s">
        <v>41</v>
      </c>
      <c r="D53" s="205">
        <v>18.956700000000001</v>
      </c>
      <c r="E53" s="309">
        <v>18.079599999999999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D64+D69</f>
        <v>205049437.75</v>
      </c>
      <c r="E58" s="31">
        <f>D58/E21</f>
        <v>0.99875550314999706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5.5">
      <c r="B60" s="14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79">
        <f>209836238.63-4963310.67</f>
        <v>204872927.96000001</v>
      </c>
      <c r="E64" s="80">
        <f>D64/E21</f>
        <v>0.9978957586607814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39">
        <v>176509.79</v>
      </c>
      <c r="E69" s="78">
        <f>D69/E21</f>
        <v>8.5974448921574925E-4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534685.26</v>
      </c>
      <c r="E72" s="118">
        <f>D72/E21</f>
        <v>2.6043467943046676E-3</v>
      </c>
    </row>
    <row r="73" spans="2:5">
      <c r="B73" s="23" t="s">
        <v>62</v>
      </c>
      <c r="C73" s="24" t="s">
        <v>65</v>
      </c>
      <c r="D73" s="25">
        <f>E17</f>
        <v>279183.90999999997</v>
      </c>
      <c r="E73" s="26">
        <f>D73/E21</f>
        <v>1.3598499443017052E-3</v>
      </c>
    </row>
    <row r="74" spans="2:5">
      <c r="B74" s="119" t="s">
        <v>64</v>
      </c>
      <c r="C74" s="120" t="s">
        <v>66</v>
      </c>
      <c r="D74" s="121">
        <f>D58+D71+D72-D73</f>
        <v>205304939.09999999</v>
      </c>
      <c r="E74" s="66">
        <f>E58+E72-E73</f>
        <v>1</v>
      </c>
    </row>
    <row r="75" spans="2:5">
      <c r="B75" s="14" t="s">
        <v>4</v>
      </c>
      <c r="C75" s="15" t="s">
        <v>67</v>
      </c>
      <c r="D75" s="77">
        <f>D74</f>
        <v>205304939.09999999</v>
      </c>
      <c r="E75" s="78">
        <f>E74</f>
        <v>1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86"/>
      <c r="C4" s="86"/>
      <c r="D4" s="86"/>
      <c r="E4" s="86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100</v>
      </c>
      <c r="C6" s="351"/>
      <c r="D6" s="351"/>
      <c r="E6" s="351"/>
    </row>
    <row r="7" spans="2:5" ht="14.25">
      <c r="B7" s="88"/>
      <c r="C7" s="88"/>
      <c r="D7" s="88"/>
      <c r="E7" s="8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227"/>
      <c r="C10" s="211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8033776.5</v>
      </c>
      <c r="E11" s="229">
        <f>SUM(E12:E14)</f>
        <v>7787883.9799999995</v>
      </c>
    </row>
    <row r="12" spans="2:5">
      <c r="B12" s="170" t="s">
        <v>4</v>
      </c>
      <c r="C12" s="171" t="s">
        <v>5</v>
      </c>
      <c r="D12" s="245">
        <v>8033776.5</v>
      </c>
      <c r="E12" s="251">
        <f>7753371.27+29512.71</f>
        <v>7782883.9799999995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>
        <f>E15</f>
        <v>5000</v>
      </c>
    </row>
    <row r="15" spans="2:5">
      <c r="B15" s="170" t="s">
        <v>106</v>
      </c>
      <c r="C15" s="172" t="s">
        <v>11</v>
      </c>
      <c r="D15" s="241"/>
      <c r="E15" s="252">
        <v>5000</v>
      </c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13154.77</v>
      </c>
      <c r="E17" s="254">
        <f>E18</f>
        <v>12304.81</v>
      </c>
    </row>
    <row r="18" spans="2:6">
      <c r="B18" s="170" t="s">
        <v>4</v>
      </c>
      <c r="C18" s="171" t="s">
        <v>11</v>
      </c>
      <c r="D18" s="243">
        <v>13154.77</v>
      </c>
      <c r="E18" s="253">
        <v>12304.81</v>
      </c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8020621.7300000004</v>
      </c>
      <c r="E21" s="147">
        <f>E11-E17</f>
        <v>7775579.1699999999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27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8667018.5099999998</v>
      </c>
      <c r="E26" s="219">
        <f>D21</f>
        <v>8020621.7300000004</v>
      </c>
    </row>
    <row r="27" spans="2:6">
      <c r="B27" s="9" t="s">
        <v>17</v>
      </c>
      <c r="C27" s="10" t="s">
        <v>111</v>
      </c>
      <c r="D27" s="198">
        <v>-587333.01</v>
      </c>
      <c r="E27" s="292">
        <f>E28-E32</f>
        <v>-298493.84999999998</v>
      </c>
      <c r="F27" s="71"/>
    </row>
    <row r="28" spans="2:6">
      <c r="B28" s="9" t="s">
        <v>18</v>
      </c>
      <c r="C28" s="10" t="s">
        <v>19</v>
      </c>
      <c r="D28" s="198">
        <v>26733.78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26733.78</v>
      </c>
      <c r="E31" s="295"/>
      <c r="F31" s="71"/>
    </row>
    <row r="32" spans="2:6">
      <c r="B32" s="91" t="s">
        <v>23</v>
      </c>
      <c r="C32" s="11" t="s">
        <v>24</v>
      </c>
      <c r="D32" s="198">
        <v>614066.79</v>
      </c>
      <c r="E32" s="293">
        <f>SUM(E33:E39)</f>
        <v>298493.84999999998</v>
      </c>
      <c r="F32" s="71"/>
    </row>
    <row r="33" spans="2:6">
      <c r="B33" s="178" t="s">
        <v>4</v>
      </c>
      <c r="C33" s="171" t="s">
        <v>25</v>
      </c>
      <c r="D33" s="199">
        <v>604976.78</v>
      </c>
      <c r="E33" s="295">
        <v>290245.25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9090.01</v>
      </c>
      <c r="E35" s="295">
        <v>8162.12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/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86.48</v>
      </c>
      <c r="F39" s="71"/>
    </row>
    <row r="40" spans="2:6" ht="13.5" thickBot="1">
      <c r="B40" s="96" t="s">
        <v>35</v>
      </c>
      <c r="C40" s="97" t="s">
        <v>36</v>
      </c>
      <c r="D40" s="201">
        <v>134135.23000000001</v>
      </c>
      <c r="E40" s="306">
        <v>53451.29</v>
      </c>
    </row>
    <row r="41" spans="2:6" ht="13.5" thickBot="1">
      <c r="B41" s="98" t="s">
        <v>37</v>
      </c>
      <c r="C41" s="99" t="s">
        <v>38</v>
      </c>
      <c r="D41" s="202">
        <v>8213820.7300000004</v>
      </c>
      <c r="E41" s="147">
        <f>E26+E27+E40</f>
        <v>7775579.1700000009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817332.49030599999</v>
      </c>
      <c r="E47" s="73">
        <v>740979.36313800002</v>
      </c>
    </row>
    <row r="48" spans="2:6">
      <c r="B48" s="122" t="s">
        <v>6</v>
      </c>
      <c r="C48" s="22" t="s">
        <v>41</v>
      </c>
      <c r="D48" s="203">
        <v>762267.03703999997</v>
      </c>
      <c r="E48" s="73">
        <v>713348.91977599997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10.60403</v>
      </c>
      <c r="E50" s="73">
        <v>10.8243519999999</v>
      </c>
    </row>
    <row r="51" spans="2:5">
      <c r="B51" s="101" t="s">
        <v>6</v>
      </c>
      <c r="C51" s="15" t="s">
        <v>114</v>
      </c>
      <c r="D51" s="203">
        <v>10.601967</v>
      </c>
      <c r="E51" s="74">
        <v>10.429176</v>
      </c>
    </row>
    <row r="52" spans="2:5" ht="12.75" customHeight="1">
      <c r="B52" s="101" t="s">
        <v>8</v>
      </c>
      <c r="C52" s="15" t="s">
        <v>115</v>
      </c>
      <c r="D52" s="203">
        <v>10.793628999999999</v>
      </c>
      <c r="E52" s="74">
        <v>10.916639999999999</v>
      </c>
    </row>
    <row r="53" spans="2:5" ht="13.5" thickBot="1">
      <c r="B53" s="102" t="s">
        <v>9</v>
      </c>
      <c r="C53" s="17" t="s">
        <v>41</v>
      </c>
      <c r="D53" s="205">
        <v>10.775515</v>
      </c>
      <c r="E53" s="323">
        <v>10.900105999999999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D64+D69</f>
        <v>7782883.9800000004</v>
      </c>
      <c r="E58" s="31">
        <f>D58/E21</f>
        <v>1.0009394554206565</v>
      </c>
    </row>
    <row r="59" spans="2:5" ht="25.5">
      <c r="B59" s="183" t="s">
        <v>4</v>
      </c>
      <c r="C59" s="184" t="s">
        <v>44</v>
      </c>
      <c r="D59" s="79">
        <v>0</v>
      </c>
      <c r="E59" s="80">
        <v>0</v>
      </c>
    </row>
    <row r="60" spans="2:5" ht="24" customHeight="1">
      <c r="B60" s="181" t="s">
        <v>6</v>
      </c>
      <c r="C60" s="182" t="s">
        <v>45</v>
      </c>
      <c r="D60" s="77">
        <v>0</v>
      </c>
      <c r="E60" s="78">
        <v>0</v>
      </c>
    </row>
    <row r="61" spans="2:5">
      <c r="B61" s="181" t="s">
        <v>8</v>
      </c>
      <c r="C61" s="182" t="s">
        <v>46</v>
      </c>
      <c r="D61" s="77">
        <v>0</v>
      </c>
      <c r="E61" s="78">
        <v>0</v>
      </c>
    </row>
    <row r="62" spans="2:5">
      <c r="B62" s="181" t="s">
        <v>9</v>
      </c>
      <c r="C62" s="182" t="s">
        <v>47</v>
      </c>
      <c r="D62" s="77">
        <v>0</v>
      </c>
      <c r="E62" s="78">
        <v>0</v>
      </c>
    </row>
    <row r="63" spans="2:5">
      <c r="B63" s="181" t="s">
        <v>29</v>
      </c>
      <c r="C63" s="182" t="s">
        <v>48</v>
      </c>
      <c r="D63" s="77">
        <v>0</v>
      </c>
      <c r="E63" s="78">
        <v>0</v>
      </c>
    </row>
    <row r="64" spans="2:5">
      <c r="B64" s="183" t="s">
        <v>31</v>
      </c>
      <c r="C64" s="184" t="s">
        <v>49</v>
      </c>
      <c r="D64" s="251">
        <v>7753371.2700000005</v>
      </c>
      <c r="E64" s="80">
        <f>D64/E21</f>
        <v>0.99714389121190061</v>
      </c>
    </row>
    <row r="65" spans="2:5">
      <c r="B65" s="183" t="s">
        <v>33</v>
      </c>
      <c r="C65" s="184" t="s">
        <v>118</v>
      </c>
      <c r="D65" s="79">
        <v>0</v>
      </c>
      <c r="E65" s="80">
        <v>0</v>
      </c>
    </row>
    <row r="66" spans="2:5">
      <c r="B66" s="183" t="s">
        <v>50</v>
      </c>
      <c r="C66" s="184" t="s">
        <v>51</v>
      </c>
      <c r="D66" s="79">
        <v>0</v>
      </c>
      <c r="E66" s="80">
        <v>0</v>
      </c>
    </row>
    <row r="67" spans="2:5">
      <c r="B67" s="181" t="s">
        <v>52</v>
      </c>
      <c r="C67" s="182" t="s">
        <v>53</v>
      </c>
      <c r="D67" s="77">
        <v>0</v>
      </c>
      <c r="E67" s="78">
        <v>0</v>
      </c>
    </row>
    <row r="68" spans="2:5">
      <c r="B68" s="181" t="s">
        <v>54</v>
      </c>
      <c r="C68" s="182" t="s">
        <v>55</v>
      </c>
      <c r="D68" s="77">
        <v>0</v>
      </c>
      <c r="E68" s="78">
        <v>0</v>
      </c>
    </row>
    <row r="69" spans="2:5">
      <c r="B69" s="181" t="s">
        <v>56</v>
      </c>
      <c r="C69" s="182" t="s">
        <v>57</v>
      </c>
      <c r="D69" s="239">
        <v>29512.71</v>
      </c>
      <c r="E69" s="78">
        <f>D69/E21</f>
        <v>3.7955642087559118E-3</v>
      </c>
    </row>
    <row r="70" spans="2:5">
      <c r="B70" s="223" t="s">
        <v>58</v>
      </c>
      <c r="C70" s="22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5000</v>
      </c>
      <c r="E72" s="118">
        <f>D72/E21</f>
        <v>6.4303891590367535E-4</v>
      </c>
    </row>
    <row r="73" spans="2:5">
      <c r="B73" s="131" t="s">
        <v>62</v>
      </c>
      <c r="C73" s="24" t="s">
        <v>65</v>
      </c>
      <c r="D73" s="25">
        <f>E17</f>
        <v>12304.81</v>
      </c>
      <c r="E73" s="26">
        <f>D73/E21</f>
        <v>1.5824943365601407E-3</v>
      </c>
    </row>
    <row r="74" spans="2:5">
      <c r="B74" s="129" t="s">
        <v>64</v>
      </c>
      <c r="C74" s="120" t="s">
        <v>66</v>
      </c>
      <c r="D74" s="121">
        <f>D58+D72-D73</f>
        <v>7775579.1700000009</v>
      </c>
      <c r="E74" s="66">
        <f>E58+E72-E73</f>
        <v>1.0000000000000002</v>
      </c>
    </row>
    <row r="75" spans="2:5">
      <c r="B75" s="181" t="s">
        <v>4</v>
      </c>
      <c r="C75" s="182" t="s">
        <v>67</v>
      </c>
      <c r="D75" s="77">
        <f>D74</f>
        <v>7775579.1700000009</v>
      </c>
      <c r="E75" s="78">
        <f>E74</f>
        <v>1.0000000000000002</v>
      </c>
    </row>
    <row r="76" spans="2:5">
      <c r="B76" s="181" t="s">
        <v>6</v>
      </c>
      <c r="C76" s="182" t="s">
        <v>119</v>
      </c>
      <c r="D76" s="77">
        <v>0</v>
      </c>
      <c r="E76" s="78">
        <v>0</v>
      </c>
    </row>
    <row r="77" spans="2:5" ht="13.5" thickBot="1">
      <c r="B77" s="185" t="s">
        <v>8</v>
      </c>
      <c r="C77" s="186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74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8356944.0899999999</v>
      </c>
      <c r="E11" s="229">
        <f>SUM(E12:E14)</f>
        <v>7437854.2599999998</v>
      </c>
    </row>
    <row r="12" spans="2:7">
      <c r="B12" s="105" t="s">
        <v>4</v>
      </c>
      <c r="C12" s="6" t="s">
        <v>5</v>
      </c>
      <c r="D12" s="245">
        <v>8356944.0899999999</v>
      </c>
      <c r="E12" s="251">
        <f>7413377.27+17539.34-7062.35</f>
        <v>7423854.2599999998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>
        <f>E15</f>
        <v>14000</v>
      </c>
    </row>
    <row r="15" spans="2:7">
      <c r="B15" s="105" t="s">
        <v>106</v>
      </c>
      <c r="C15" s="68" t="s">
        <v>11</v>
      </c>
      <c r="D15" s="241"/>
      <c r="E15" s="252">
        <v>14000</v>
      </c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14337.37</v>
      </c>
      <c r="E17" s="254">
        <f>E18</f>
        <v>12973.92</v>
      </c>
    </row>
    <row r="18" spans="2:6">
      <c r="B18" s="105" t="s">
        <v>4</v>
      </c>
      <c r="C18" s="6" t="s">
        <v>11</v>
      </c>
      <c r="D18" s="243">
        <v>14337.37</v>
      </c>
      <c r="E18" s="253">
        <v>12973.92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8342606.7199999997</v>
      </c>
      <c r="E21" s="147">
        <f>E11-E17</f>
        <v>7424880.3399999999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9149585.1899999995</v>
      </c>
      <c r="E26" s="219">
        <f>D21</f>
        <v>8342606.7199999997</v>
      </c>
    </row>
    <row r="27" spans="2:6">
      <c r="B27" s="9" t="s">
        <v>17</v>
      </c>
      <c r="C27" s="10" t="s">
        <v>111</v>
      </c>
      <c r="D27" s="198">
        <v>-352823.41</v>
      </c>
      <c r="E27" s="292">
        <f>E28-E32</f>
        <v>-340047.42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352823.41</v>
      </c>
      <c r="E32" s="293">
        <f>SUM(E33:E39)</f>
        <v>340047.42</v>
      </c>
      <c r="F32" s="71"/>
    </row>
    <row r="33" spans="2:6">
      <c r="B33" s="103" t="s">
        <v>4</v>
      </c>
      <c r="C33" s="6" t="s">
        <v>25</v>
      </c>
      <c r="D33" s="199">
        <v>306868.11</v>
      </c>
      <c r="E33" s="295">
        <f>285771.36+670.81</f>
        <v>286442.17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45955.3</v>
      </c>
      <c r="E35" s="295">
        <v>53038.400000000001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>
        <v>566.85</v>
      </c>
      <c r="F39" s="71"/>
    </row>
    <row r="40" spans="2:6" ht="13.5" thickBot="1">
      <c r="B40" s="96" t="s">
        <v>35</v>
      </c>
      <c r="C40" s="97" t="s">
        <v>36</v>
      </c>
      <c r="D40" s="201">
        <v>24586.67</v>
      </c>
      <c r="E40" s="306">
        <v>-577678.96</v>
      </c>
    </row>
    <row r="41" spans="2:6" ht="13.5" thickBot="1">
      <c r="B41" s="98" t="s">
        <v>37</v>
      </c>
      <c r="C41" s="99" t="s">
        <v>38</v>
      </c>
      <c r="D41" s="202">
        <v>8821348.4499999993</v>
      </c>
      <c r="E41" s="147">
        <f>E26+E27+E40</f>
        <v>7424880.3399999999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125</v>
      </c>
      <c r="E45" s="261" t="s">
        <v>250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982505.90725199995</v>
      </c>
      <c r="E47" s="73">
        <v>906379.75520200003</v>
      </c>
    </row>
    <row r="48" spans="2:6">
      <c r="B48" s="122" t="s">
        <v>6</v>
      </c>
      <c r="C48" s="22" t="s">
        <v>41</v>
      </c>
      <c r="D48" s="203">
        <v>944840.88785000006</v>
      </c>
      <c r="E48" s="73">
        <v>867420.77544</v>
      </c>
    </row>
    <row r="49" spans="2:5">
      <c r="B49" s="119" t="s">
        <v>23</v>
      </c>
      <c r="C49" s="123" t="s">
        <v>113</v>
      </c>
      <c r="D49" s="204"/>
      <c r="E49" s="124"/>
    </row>
    <row r="50" spans="2:5">
      <c r="B50" s="101" t="s">
        <v>4</v>
      </c>
      <c r="C50" s="15" t="s">
        <v>40</v>
      </c>
      <c r="D50" s="203">
        <v>9.3124990000000007</v>
      </c>
      <c r="E50" s="250">
        <v>9.2043169999999996</v>
      </c>
    </row>
    <row r="51" spans="2:5">
      <c r="B51" s="101" t="s">
        <v>6</v>
      </c>
      <c r="C51" s="15" t="s">
        <v>114</v>
      </c>
      <c r="D51" s="203">
        <v>9.2418270000000007</v>
      </c>
      <c r="E51" s="341">
        <v>8.4641640000000002</v>
      </c>
    </row>
    <row r="52" spans="2:5" ht="12.75" customHeight="1">
      <c r="B52" s="101" t="s">
        <v>8</v>
      </c>
      <c r="C52" s="15" t="s">
        <v>115</v>
      </c>
      <c r="D52" s="203">
        <v>9.4380380000000006</v>
      </c>
      <c r="E52" s="74">
        <v>9.2568850000000005</v>
      </c>
    </row>
    <row r="53" spans="2:5" ht="13.5" thickBot="1">
      <c r="B53" s="102" t="s">
        <v>9</v>
      </c>
      <c r="C53" s="17" t="s">
        <v>41</v>
      </c>
      <c r="D53" s="205">
        <v>9.3363309999999995</v>
      </c>
      <c r="E53" s="309">
        <v>8.5597220000000007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D64+D69</f>
        <v>7423854.2599999998</v>
      </c>
      <c r="E58" s="31">
        <f>D58/E21</f>
        <v>0.99986180518028389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251">
        <f>7413377.27-7062.35</f>
        <v>7406314.9199999999</v>
      </c>
      <c r="E64" s="80">
        <f>D64/E21</f>
        <v>0.99749956643745719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17539.34</v>
      </c>
      <c r="E69" s="78">
        <f>D69/E21</f>
        <v>2.3622387428266622E-3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f>E13</f>
        <v>0</v>
      </c>
      <c r="E71" s="66">
        <f>D71/E21</f>
        <v>0</v>
      </c>
    </row>
    <row r="72" spans="2:5">
      <c r="B72" s="130" t="s">
        <v>60</v>
      </c>
      <c r="C72" s="116" t="s">
        <v>63</v>
      </c>
      <c r="D72" s="117">
        <f>E14</f>
        <v>14000</v>
      </c>
      <c r="E72" s="118">
        <f>D72/E21</f>
        <v>1.8855522727521828E-3</v>
      </c>
    </row>
    <row r="73" spans="2:5">
      <c r="B73" s="131" t="s">
        <v>62</v>
      </c>
      <c r="C73" s="24" t="s">
        <v>65</v>
      </c>
      <c r="D73" s="25">
        <f>E17</f>
        <v>12973.92</v>
      </c>
      <c r="E73" s="26">
        <f>D73/E21</f>
        <v>1.7473574530360715E-3</v>
      </c>
    </row>
    <row r="74" spans="2:5">
      <c r="B74" s="129" t="s">
        <v>64</v>
      </c>
      <c r="C74" s="120" t="s">
        <v>66</v>
      </c>
      <c r="D74" s="121">
        <f>D58+D72-D73+D71</f>
        <v>7424880.3399999999</v>
      </c>
      <c r="E74" s="66">
        <f>E58+E71+E72-E73</f>
        <v>0.99999999999999989</v>
      </c>
    </row>
    <row r="75" spans="2:5">
      <c r="B75" s="101" t="s">
        <v>4</v>
      </c>
      <c r="C75" s="15" t="s">
        <v>67</v>
      </c>
      <c r="D75" s="77">
        <f>D74</f>
        <v>7424880.3399999999</v>
      </c>
      <c r="E75" s="78">
        <f>E74</f>
        <v>0.99999999999999989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149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199542.12</v>
      </c>
      <c r="E11" s="229">
        <f>SUM(E12:E14)</f>
        <v>125224.09</v>
      </c>
    </row>
    <row r="12" spans="2:7">
      <c r="B12" s="170" t="s">
        <v>4</v>
      </c>
      <c r="C12" s="171" t="s">
        <v>5</v>
      </c>
      <c r="D12" s="245">
        <v>199542.12</v>
      </c>
      <c r="E12" s="251">
        <v>125224.09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199542.12</v>
      </c>
      <c r="E21" s="147">
        <f>E11-E17</f>
        <v>125224.09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06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256033.28</v>
      </c>
      <c r="E26" s="219">
        <f>D21</f>
        <v>199542.12</v>
      </c>
    </row>
    <row r="27" spans="2:6">
      <c r="B27" s="9" t="s">
        <v>17</v>
      </c>
      <c r="C27" s="10" t="s">
        <v>111</v>
      </c>
      <c r="D27" s="198">
        <v>-63220.98</v>
      </c>
      <c r="E27" s="292">
        <f>E28-E32</f>
        <v>-81384.12</v>
      </c>
      <c r="F27" s="71"/>
    </row>
    <row r="28" spans="2:6">
      <c r="B28" s="9" t="s">
        <v>18</v>
      </c>
      <c r="C28" s="10" t="s">
        <v>19</v>
      </c>
      <c r="D28" s="198">
        <v>4772.37</v>
      </c>
      <c r="E28" s="293">
        <v>4133.3</v>
      </c>
      <c r="F28" s="71"/>
    </row>
    <row r="29" spans="2:6">
      <c r="B29" s="178" t="s">
        <v>4</v>
      </c>
      <c r="C29" s="171" t="s">
        <v>20</v>
      </c>
      <c r="D29" s="199">
        <v>4772.37</v>
      </c>
      <c r="E29" s="295">
        <v>4133.3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67993.350000000006</v>
      </c>
      <c r="E32" s="293">
        <f>SUM(E33:E39)</f>
        <v>85517.42</v>
      </c>
      <c r="F32" s="71"/>
    </row>
    <row r="33" spans="2:6">
      <c r="B33" s="178" t="s">
        <v>4</v>
      </c>
      <c r="C33" s="171" t="s">
        <v>25</v>
      </c>
      <c r="D33" s="199">
        <v>65614.880000000005</v>
      </c>
      <c r="E33" s="295">
        <v>84112.91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196.85</v>
      </c>
      <c r="E35" s="295">
        <v>136.53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2181.62</v>
      </c>
      <c r="E37" s="295">
        <v>1267.98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7892.84</v>
      </c>
      <c r="E40" s="306">
        <v>7066.09</v>
      </c>
    </row>
    <row r="41" spans="2:6" ht="13.5" thickBot="1">
      <c r="B41" s="98" t="s">
        <v>37</v>
      </c>
      <c r="C41" s="99" t="s">
        <v>38</v>
      </c>
      <c r="D41" s="202">
        <v>200705.13999999998</v>
      </c>
      <c r="E41" s="147">
        <f>E26+E27+E40</f>
        <v>125224.09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2130.0605999999998</v>
      </c>
      <c r="E47" s="73">
        <v>1616.3801000000001</v>
      </c>
    </row>
    <row r="48" spans="2:6">
      <c r="B48" s="122" t="s">
        <v>6</v>
      </c>
      <c r="C48" s="22" t="s">
        <v>41</v>
      </c>
      <c r="D48" s="203">
        <v>1615.2030999999999</v>
      </c>
      <c r="E48" s="324">
        <v>962.66980000000001</v>
      </c>
    </row>
    <row r="49" spans="2:5">
      <c r="B49" s="119" t="s">
        <v>23</v>
      </c>
      <c r="C49" s="123" t="s">
        <v>113</v>
      </c>
      <c r="D49" s="277"/>
      <c r="E49" s="74"/>
    </row>
    <row r="50" spans="2:5">
      <c r="B50" s="101" t="s">
        <v>4</v>
      </c>
      <c r="C50" s="15" t="s">
        <v>40</v>
      </c>
      <c r="D50" s="203">
        <v>120.2</v>
      </c>
      <c r="E50" s="74">
        <v>123.45</v>
      </c>
    </row>
    <row r="51" spans="2:5">
      <c r="B51" s="101" t="s">
        <v>6</v>
      </c>
      <c r="C51" s="15" t="s">
        <v>114</v>
      </c>
      <c r="D51" s="203">
        <v>120.13</v>
      </c>
      <c r="E51" s="74">
        <v>109.87</v>
      </c>
    </row>
    <row r="52" spans="2:5">
      <c r="B52" s="101" t="s">
        <v>8</v>
      </c>
      <c r="C52" s="15" t="s">
        <v>115</v>
      </c>
      <c r="D52" s="203">
        <v>126.1</v>
      </c>
      <c r="E52" s="74">
        <v>131.85</v>
      </c>
    </row>
    <row r="53" spans="2:5" ht="13.5" customHeight="1" thickBot="1">
      <c r="B53" s="102" t="s">
        <v>9</v>
      </c>
      <c r="C53" s="17" t="s">
        <v>41</v>
      </c>
      <c r="D53" s="205">
        <v>124.26</v>
      </c>
      <c r="E53" s="332">
        <v>130.08000000000001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125224.09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125224.09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125224.09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125224.09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150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1613814.13</v>
      </c>
      <c r="E11" s="229">
        <f>SUM(E12:E14)</f>
        <v>1584880.22</v>
      </c>
    </row>
    <row r="12" spans="2:7">
      <c r="B12" s="105" t="s">
        <v>4</v>
      </c>
      <c r="C12" s="6" t="s">
        <v>5</v>
      </c>
      <c r="D12" s="245">
        <v>1613814.13</v>
      </c>
      <c r="E12" s="251">
        <v>1584880.22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1613814.13</v>
      </c>
      <c r="E21" s="147">
        <f>E11-E17</f>
        <v>1584880.22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3068149.66</v>
      </c>
      <c r="E26" s="219">
        <f>D21</f>
        <v>1613814.13</v>
      </c>
    </row>
    <row r="27" spans="2:6">
      <c r="B27" s="9" t="s">
        <v>17</v>
      </c>
      <c r="C27" s="10" t="s">
        <v>111</v>
      </c>
      <c r="D27" s="198">
        <v>-511744.05</v>
      </c>
      <c r="E27" s="292">
        <f>E28-E32</f>
        <v>-4502.7200000000012</v>
      </c>
      <c r="F27" s="71"/>
    </row>
    <row r="28" spans="2:6">
      <c r="B28" s="9" t="s">
        <v>18</v>
      </c>
      <c r="C28" s="10" t="s">
        <v>19</v>
      </c>
      <c r="D28" s="198">
        <v>5882.88</v>
      </c>
      <c r="E28" s="293">
        <f>E29+E31</f>
        <v>66630.100000000006</v>
      </c>
      <c r="F28" s="71"/>
    </row>
    <row r="29" spans="2:6">
      <c r="B29" s="103" t="s">
        <v>4</v>
      </c>
      <c r="C29" s="6" t="s">
        <v>20</v>
      </c>
      <c r="D29" s="199">
        <v>5882.88</v>
      </c>
      <c r="E29" s="295">
        <v>3250.75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>
        <v>63379.35</v>
      </c>
      <c r="F31" s="71"/>
    </row>
    <row r="32" spans="2:6">
      <c r="B32" s="91" t="s">
        <v>23</v>
      </c>
      <c r="C32" s="11" t="s">
        <v>24</v>
      </c>
      <c r="D32" s="198">
        <v>517626.93</v>
      </c>
      <c r="E32" s="293">
        <v>71132.820000000007</v>
      </c>
      <c r="F32" s="71"/>
    </row>
    <row r="33" spans="2:6">
      <c r="B33" s="103" t="s">
        <v>4</v>
      </c>
      <c r="C33" s="6" t="s">
        <v>25</v>
      </c>
      <c r="D33" s="199">
        <v>491469.73</v>
      </c>
      <c r="E33" s="295">
        <v>55544.33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2609.9</v>
      </c>
      <c r="E35" s="295">
        <v>2629.7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23547.3</v>
      </c>
      <c r="E37" s="295">
        <v>12958.79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50877.85</v>
      </c>
      <c r="E40" s="306">
        <v>-24431.19</v>
      </c>
    </row>
    <row r="41" spans="2:6" ht="13.5" thickBot="1">
      <c r="B41" s="98" t="s">
        <v>37</v>
      </c>
      <c r="C41" s="99" t="s">
        <v>38</v>
      </c>
      <c r="D41" s="202">
        <v>2607283.4600000004</v>
      </c>
      <c r="E41" s="147">
        <f>E26+E27+E40</f>
        <v>1584880.22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18157.955000000002</v>
      </c>
      <c r="E47" s="148">
        <v>9303.1309999999994</v>
      </c>
    </row>
    <row r="48" spans="2:6">
      <c r="B48" s="122" t="s">
        <v>6</v>
      </c>
      <c r="C48" s="22" t="s">
        <v>41</v>
      </c>
      <c r="D48" s="203">
        <v>15178.7937</v>
      </c>
      <c r="E48" s="326">
        <v>9276.4426000000003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168.97</v>
      </c>
      <c r="E50" s="148">
        <v>173.47</v>
      </c>
    </row>
    <row r="51" spans="2:5">
      <c r="B51" s="101" t="s">
        <v>6</v>
      </c>
      <c r="C51" s="15" t="s">
        <v>114</v>
      </c>
      <c r="D51" s="203">
        <v>168.97</v>
      </c>
      <c r="E51" s="74">
        <v>168.08</v>
      </c>
    </row>
    <row r="52" spans="2:5">
      <c r="B52" s="101" t="s">
        <v>8</v>
      </c>
      <c r="C52" s="15" t="s">
        <v>115</v>
      </c>
      <c r="D52" s="203">
        <v>172.06</v>
      </c>
      <c r="E52" s="74">
        <v>174.36</v>
      </c>
    </row>
    <row r="53" spans="2:5" ht="13.5" customHeight="1" thickBot="1">
      <c r="B53" s="102" t="s">
        <v>9</v>
      </c>
      <c r="C53" s="17" t="s">
        <v>41</v>
      </c>
      <c r="D53" s="205">
        <v>171.93</v>
      </c>
      <c r="E53" s="335">
        <v>170.85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1584880.22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1584880.22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1584880.22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1584880.22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 customHeight="1">
      <c r="B6" s="351" t="s">
        <v>151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 customHeight="1">
      <c r="B8" s="353" t="s">
        <v>18</v>
      </c>
      <c r="C8" s="353"/>
      <c r="D8" s="353"/>
      <c r="E8" s="353"/>
    </row>
    <row r="9" spans="2:7" ht="16.5" customHeight="1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229819.14</v>
      </c>
      <c r="E11" s="229">
        <f>SUM(E12:E14)</f>
        <v>219642.92</v>
      </c>
    </row>
    <row r="12" spans="2:7">
      <c r="B12" s="170" t="s">
        <v>4</v>
      </c>
      <c r="C12" s="171" t="s">
        <v>5</v>
      </c>
      <c r="D12" s="245">
        <v>229819.14</v>
      </c>
      <c r="E12" s="251">
        <v>219642.92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customHeight="1" thickBot="1">
      <c r="B21" s="357" t="s">
        <v>110</v>
      </c>
      <c r="C21" s="369"/>
      <c r="D21" s="232">
        <v>229819.14</v>
      </c>
      <c r="E21" s="147">
        <f>E11-E17</f>
        <v>219642.92</v>
      </c>
      <c r="F21" s="76"/>
    </row>
    <row r="22" spans="2:6">
      <c r="B22" s="3"/>
      <c r="C22" s="7"/>
      <c r="D22" s="8"/>
      <c r="E22" s="8"/>
    </row>
    <row r="23" spans="2:6" ht="13.5" customHeight="1">
      <c r="B23" s="353" t="s">
        <v>104</v>
      </c>
      <c r="C23" s="353"/>
      <c r="D23" s="353"/>
      <c r="E23" s="353"/>
    </row>
    <row r="24" spans="2:6" ht="15.75" customHeight="1" thickBot="1">
      <c r="B24" s="352" t="s">
        <v>105</v>
      </c>
      <c r="C24" s="352"/>
      <c r="D24" s="352"/>
      <c r="E24" s="352"/>
    </row>
    <row r="25" spans="2:6" ht="13.5" thickBot="1">
      <c r="B25" s="206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262373.64</v>
      </c>
      <c r="E26" s="219">
        <f>D21</f>
        <v>229819.14</v>
      </c>
    </row>
    <row r="27" spans="2:6">
      <c r="B27" s="9" t="s">
        <v>17</v>
      </c>
      <c r="C27" s="10" t="s">
        <v>111</v>
      </c>
      <c r="D27" s="198">
        <v>-31347.300000000003</v>
      </c>
      <c r="E27" s="292">
        <f>E28-E32</f>
        <v>-20007.260000000002</v>
      </c>
      <c r="F27" s="71"/>
    </row>
    <row r="28" spans="2:6">
      <c r="B28" s="9" t="s">
        <v>18</v>
      </c>
      <c r="C28" s="10" t="s">
        <v>19</v>
      </c>
      <c r="D28" s="198">
        <v>28986.04</v>
      </c>
      <c r="E28" s="293">
        <v>431.78</v>
      </c>
      <c r="F28" s="71"/>
    </row>
    <row r="29" spans="2:6">
      <c r="B29" s="178" t="s">
        <v>4</v>
      </c>
      <c r="C29" s="171" t="s">
        <v>20</v>
      </c>
      <c r="D29" s="199">
        <v>1161.7</v>
      </c>
      <c r="E29" s="295">
        <v>431.78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27824.34</v>
      </c>
      <c r="E31" s="295"/>
      <c r="F31" s="71"/>
    </row>
    <row r="32" spans="2:6">
      <c r="B32" s="91" t="s">
        <v>23</v>
      </c>
      <c r="C32" s="11" t="s">
        <v>24</v>
      </c>
      <c r="D32" s="198">
        <v>60333.340000000004</v>
      </c>
      <c r="E32" s="293">
        <f>SUM(E33:E39)</f>
        <v>20439.04</v>
      </c>
      <c r="F32" s="71"/>
    </row>
    <row r="33" spans="2:6">
      <c r="B33" s="178" t="s">
        <v>4</v>
      </c>
      <c r="C33" s="171" t="s">
        <v>25</v>
      </c>
      <c r="D33" s="199">
        <v>29862.79</v>
      </c>
      <c r="E33" s="295">
        <v>18152.14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310.22000000000003</v>
      </c>
      <c r="E35" s="295">
        <v>311.58999999999997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2440.83</v>
      </c>
      <c r="E37" s="295">
        <v>1975.31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27719.5</v>
      </c>
      <c r="E39" s="297"/>
      <c r="F39" s="71"/>
    </row>
    <row r="40" spans="2:6" ht="13.5" thickBot="1">
      <c r="B40" s="96" t="s">
        <v>35</v>
      </c>
      <c r="C40" s="97" t="s">
        <v>36</v>
      </c>
      <c r="D40" s="201">
        <v>8621.67</v>
      </c>
      <c r="E40" s="306">
        <v>9831.0400000000009</v>
      </c>
    </row>
    <row r="41" spans="2:6" ht="13.5" thickBot="1">
      <c r="B41" s="98" t="s">
        <v>37</v>
      </c>
      <c r="C41" s="99" t="s">
        <v>38</v>
      </c>
      <c r="D41" s="202">
        <v>239648.01000000004</v>
      </c>
      <c r="E41" s="147">
        <f>E26+E27+E40</f>
        <v>219642.92</v>
      </c>
      <c r="F41" s="76"/>
    </row>
    <row r="42" spans="2:6">
      <c r="B42" s="92"/>
      <c r="C42" s="92"/>
      <c r="D42" s="93"/>
      <c r="E42" s="93"/>
      <c r="F42" s="76"/>
    </row>
    <row r="43" spans="2:6" ht="13.5" customHeight="1">
      <c r="B43" s="354" t="s">
        <v>60</v>
      </c>
      <c r="C43" s="354"/>
      <c r="D43" s="354"/>
      <c r="E43" s="354"/>
    </row>
    <row r="44" spans="2:6" ht="18" customHeight="1" thickBot="1">
      <c r="B44" s="352" t="s">
        <v>121</v>
      </c>
      <c r="C44" s="352"/>
      <c r="D44" s="352"/>
      <c r="E44" s="352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213"/>
      <c r="E46" s="28"/>
    </row>
    <row r="47" spans="2:6">
      <c r="B47" s="101" t="s">
        <v>4</v>
      </c>
      <c r="C47" s="15" t="s">
        <v>40</v>
      </c>
      <c r="D47" s="203">
        <v>2799.8467999999998</v>
      </c>
      <c r="E47" s="220">
        <v>2411.7865000000002</v>
      </c>
    </row>
    <row r="48" spans="2:6">
      <c r="B48" s="122" t="s">
        <v>6</v>
      </c>
      <c r="C48" s="22" t="s">
        <v>41</v>
      </c>
      <c r="D48" s="203">
        <v>2472.3822</v>
      </c>
      <c r="E48" s="327">
        <v>2199.5084999999999</v>
      </c>
    </row>
    <row r="49" spans="2:5">
      <c r="B49" s="119" t="s">
        <v>23</v>
      </c>
      <c r="C49" s="123" t="s">
        <v>113</v>
      </c>
      <c r="D49" s="277"/>
      <c r="E49" s="221"/>
    </row>
    <row r="50" spans="2:5">
      <c r="B50" s="101" t="s">
        <v>4</v>
      </c>
      <c r="C50" s="15" t="s">
        <v>40</v>
      </c>
      <c r="D50" s="203">
        <v>93.71</v>
      </c>
      <c r="E50" s="249">
        <v>95.29</v>
      </c>
    </row>
    <row r="51" spans="2:5">
      <c r="B51" s="101" t="s">
        <v>6</v>
      </c>
      <c r="C51" s="15" t="s">
        <v>114</v>
      </c>
      <c r="D51" s="203">
        <v>93.26</v>
      </c>
      <c r="E51" s="341">
        <v>77.44</v>
      </c>
    </row>
    <row r="52" spans="2:5">
      <c r="B52" s="101" t="s">
        <v>8</v>
      </c>
      <c r="C52" s="15" t="s">
        <v>115</v>
      </c>
      <c r="D52" s="203">
        <v>101.12</v>
      </c>
      <c r="E52" s="221">
        <v>102.48</v>
      </c>
    </row>
    <row r="53" spans="2:5" ht="12.75" customHeight="1" thickBot="1">
      <c r="B53" s="102" t="s">
        <v>9</v>
      </c>
      <c r="C53" s="17" t="s">
        <v>41</v>
      </c>
      <c r="D53" s="205">
        <v>96.93</v>
      </c>
      <c r="E53" s="335">
        <v>99.86</v>
      </c>
    </row>
    <row r="54" spans="2:5">
      <c r="B54" s="108"/>
      <c r="C54" s="109"/>
      <c r="D54" s="110"/>
      <c r="E54" s="110"/>
    </row>
    <row r="55" spans="2:5" ht="13.5" customHeight="1">
      <c r="B55" s="354" t="s">
        <v>62</v>
      </c>
      <c r="C55" s="354"/>
      <c r="D55" s="354"/>
      <c r="E55" s="354"/>
    </row>
    <row r="56" spans="2:5" ht="14.25" customHeight="1" thickBot="1">
      <c r="B56" s="352" t="s">
        <v>116</v>
      </c>
      <c r="C56" s="352"/>
      <c r="D56" s="352"/>
      <c r="E56" s="352"/>
    </row>
    <row r="57" spans="2:5" ht="23.25" customHeight="1" thickBot="1">
      <c r="B57" s="367" t="s">
        <v>42</v>
      </c>
      <c r="C57" s="36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219642.92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219642.92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219642.92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219642.92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86"/>
      <c r="C4" s="86"/>
      <c r="D4" s="86"/>
      <c r="E4" s="86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152</v>
      </c>
      <c r="C6" s="351"/>
      <c r="D6" s="351"/>
      <c r="E6" s="351"/>
    </row>
    <row r="7" spans="2:5" ht="14.25">
      <c r="B7" s="88"/>
      <c r="C7" s="88"/>
      <c r="D7" s="88"/>
      <c r="E7" s="8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87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273163.09999999998</v>
      </c>
      <c r="E11" s="229">
        <f>SUM(E12:E14)</f>
        <v>238143.72</v>
      </c>
    </row>
    <row r="12" spans="2:5">
      <c r="B12" s="105" t="s">
        <v>4</v>
      </c>
      <c r="C12" s="6" t="s">
        <v>5</v>
      </c>
      <c r="D12" s="245">
        <v>273163.09999999998</v>
      </c>
      <c r="E12" s="251">
        <v>238143.72</v>
      </c>
    </row>
    <row r="13" spans="2:5">
      <c r="B13" s="105" t="s">
        <v>6</v>
      </c>
      <c r="C13" s="68" t="s">
        <v>7</v>
      </c>
      <c r="D13" s="241"/>
      <c r="E13" s="252"/>
    </row>
    <row r="14" spans="2:5">
      <c r="B14" s="105" t="s">
        <v>8</v>
      </c>
      <c r="C14" s="68" t="s">
        <v>10</v>
      </c>
      <c r="D14" s="241"/>
      <c r="E14" s="252"/>
    </row>
    <row r="15" spans="2:5">
      <c r="B15" s="105" t="s">
        <v>106</v>
      </c>
      <c r="C15" s="68" t="s">
        <v>11</v>
      </c>
      <c r="D15" s="241"/>
      <c r="E15" s="252"/>
    </row>
    <row r="16" spans="2:5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273163.09999999998</v>
      </c>
      <c r="E21" s="147">
        <f>E11-E17</f>
        <v>238143.72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411843.35</v>
      </c>
      <c r="E26" s="219">
        <f>D21</f>
        <v>273163.09999999998</v>
      </c>
    </row>
    <row r="27" spans="2:6">
      <c r="B27" s="9" t="s">
        <v>17</v>
      </c>
      <c r="C27" s="10" t="s">
        <v>111</v>
      </c>
      <c r="D27" s="198">
        <v>-20879.920000000006</v>
      </c>
      <c r="E27" s="292">
        <f>E28-E32</f>
        <v>-55656.060000000005</v>
      </c>
      <c r="F27" s="71"/>
    </row>
    <row r="28" spans="2:6">
      <c r="B28" s="9" t="s">
        <v>18</v>
      </c>
      <c r="C28" s="10" t="s">
        <v>19</v>
      </c>
      <c r="D28" s="198">
        <v>32621.379999999997</v>
      </c>
      <c r="E28" s="293">
        <v>53289.74</v>
      </c>
      <c r="F28" s="71"/>
    </row>
    <row r="29" spans="2:6">
      <c r="B29" s="103" t="s">
        <v>4</v>
      </c>
      <c r="C29" s="6" t="s">
        <v>20</v>
      </c>
      <c r="D29" s="199">
        <v>3337.96</v>
      </c>
      <c r="E29" s="295">
        <v>3330.89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29283.42</v>
      </c>
      <c r="E31" s="295">
        <v>49958.85</v>
      </c>
      <c r="F31" s="71"/>
    </row>
    <row r="32" spans="2:6">
      <c r="B32" s="91" t="s">
        <v>23</v>
      </c>
      <c r="C32" s="11" t="s">
        <v>24</v>
      </c>
      <c r="D32" s="198">
        <v>53501.3</v>
      </c>
      <c r="E32" s="293">
        <f>SUM(E33:E39)</f>
        <v>108945.8</v>
      </c>
      <c r="F32" s="71"/>
    </row>
    <row r="33" spans="2:6">
      <c r="B33" s="103" t="s">
        <v>4</v>
      </c>
      <c r="C33" s="6" t="s">
        <v>25</v>
      </c>
      <c r="D33" s="199">
        <v>22133.56</v>
      </c>
      <c r="E33" s="295"/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146.75</v>
      </c>
      <c r="E35" s="295">
        <v>183.71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3396.65</v>
      </c>
      <c r="E37" s="295">
        <v>1749.71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27824.34</v>
      </c>
      <c r="E39" s="297">
        <v>107012.38</v>
      </c>
      <c r="F39" s="71"/>
    </row>
    <row r="40" spans="2:6" ht="13.5" thickBot="1">
      <c r="B40" s="96" t="s">
        <v>35</v>
      </c>
      <c r="C40" s="97" t="s">
        <v>36</v>
      </c>
      <c r="D40" s="201">
        <v>23372.68</v>
      </c>
      <c r="E40" s="306">
        <v>20636.68</v>
      </c>
    </row>
    <row r="41" spans="2:6" ht="13.5" thickBot="1">
      <c r="B41" s="98" t="s">
        <v>37</v>
      </c>
      <c r="C41" s="99" t="s">
        <v>38</v>
      </c>
      <c r="D41" s="202">
        <v>414336.11</v>
      </c>
      <c r="E41" s="147">
        <f>E26+E27+E40</f>
        <v>238143.71999999997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3541.8245000000002</v>
      </c>
      <c r="E47" s="148">
        <v>2241.0623999999998</v>
      </c>
    </row>
    <row r="48" spans="2:6">
      <c r="B48" s="122" t="s">
        <v>6</v>
      </c>
      <c r="C48" s="22" t="s">
        <v>41</v>
      </c>
      <c r="D48" s="203">
        <v>3360.3901999999998</v>
      </c>
      <c r="E48" s="326">
        <v>1784.7838999999999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116.28</v>
      </c>
      <c r="E50" s="148">
        <v>121.89</v>
      </c>
    </row>
    <row r="51" spans="2:5">
      <c r="B51" s="101" t="s">
        <v>6</v>
      </c>
      <c r="C51" s="15" t="s">
        <v>114</v>
      </c>
      <c r="D51" s="203">
        <v>115.52</v>
      </c>
      <c r="E51" s="74">
        <v>88.48</v>
      </c>
    </row>
    <row r="52" spans="2:5">
      <c r="B52" s="101" t="s">
        <v>8</v>
      </c>
      <c r="C52" s="15" t="s">
        <v>115</v>
      </c>
      <c r="D52" s="203">
        <v>129.75</v>
      </c>
      <c r="E52" s="74">
        <v>137.59</v>
      </c>
    </row>
    <row r="53" spans="2:5" ht="13.5" customHeight="1" thickBot="1">
      <c r="B53" s="102" t="s">
        <v>9</v>
      </c>
      <c r="C53" s="17" t="s">
        <v>41</v>
      </c>
      <c r="D53" s="205">
        <v>123.3</v>
      </c>
      <c r="E53" s="335">
        <v>133.43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238143.72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238143.72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238143.72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238143.72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153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6167157.0300000003</v>
      </c>
      <c r="E11" s="229">
        <f>SUM(E12:E14)</f>
        <v>5632536.79</v>
      </c>
    </row>
    <row r="12" spans="2:7">
      <c r="B12" s="170" t="s">
        <v>4</v>
      </c>
      <c r="C12" s="171" t="s">
        <v>5</v>
      </c>
      <c r="D12" s="245">
        <v>6167157.0300000003</v>
      </c>
      <c r="E12" s="251">
        <v>5632536.79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6167157.0300000003</v>
      </c>
      <c r="E21" s="147">
        <f>E11-E17</f>
        <v>5632536.79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06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8316305.7400000002</v>
      </c>
      <c r="E26" s="219">
        <f>D21</f>
        <v>6167157.0300000003</v>
      </c>
    </row>
    <row r="27" spans="2:6">
      <c r="B27" s="9" t="s">
        <v>17</v>
      </c>
      <c r="C27" s="10" t="s">
        <v>111</v>
      </c>
      <c r="D27" s="198">
        <v>-1081764.6299999999</v>
      </c>
      <c r="E27" s="292">
        <f>E28-E32</f>
        <v>-568640.59000000032</v>
      </c>
      <c r="F27" s="71"/>
    </row>
    <row r="28" spans="2:6">
      <c r="B28" s="9" t="s">
        <v>18</v>
      </c>
      <c r="C28" s="10" t="s">
        <v>19</v>
      </c>
      <c r="D28" s="198">
        <v>10575.22</v>
      </c>
      <c r="E28" s="293">
        <v>2231474.65</v>
      </c>
      <c r="F28" s="71"/>
    </row>
    <row r="29" spans="2:6">
      <c r="B29" s="178" t="s">
        <v>4</v>
      </c>
      <c r="C29" s="171" t="s">
        <v>20</v>
      </c>
      <c r="D29" s="199">
        <v>10575.22</v>
      </c>
      <c r="E29" s="295">
        <v>23259.29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2208215.36</v>
      </c>
      <c r="F31" s="71"/>
    </row>
    <row r="32" spans="2:6">
      <c r="B32" s="91" t="s">
        <v>23</v>
      </c>
      <c r="C32" s="11" t="s">
        <v>24</v>
      </c>
      <c r="D32" s="198">
        <v>1092339.8499999999</v>
      </c>
      <c r="E32" s="293">
        <f>SUM(E33:E39)</f>
        <v>2800115.24</v>
      </c>
      <c r="F32" s="71"/>
    </row>
    <row r="33" spans="2:6">
      <c r="B33" s="178" t="s">
        <v>4</v>
      </c>
      <c r="C33" s="171" t="s">
        <v>25</v>
      </c>
      <c r="D33" s="199">
        <v>1022063.94</v>
      </c>
      <c r="E33" s="295">
        <v>146657.15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8026.53</v>
      </c>
      <c r="E35" s="295">
        <v>10351.65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62249.38</v>
      </c>
      <c r="E37" s="295">
        <v>39531.279999999999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2603575.16</v>
      </c>
      <c r="F39" s="71"/>
    </row>
    <row r="40" spans="2:6" ht="13.5" thickBot="1">
      <c r="B40" s="96" t="s">
        <v>35</v>
      </c>
      <c r="C40" s="97" t="s">
        <v>36</v>
      </c>
      <c r="D40" s="201">
        <v>66262.28</v>
      </c>
      <c r="E40" s="306">
        <v>34020.35</v>
      </c>
    </row>
    <row r="41" spans="2:6" ht="13.5" thickBot="1">
      <c r="B41" s="98" t="s">
        <v>37</v>
      </c>
      <c r="C41" s="99" t="s">
        <v>38</v>
      </c>
      <c r="D41" s="202">
        <v>7300803.3900000006</v>
      </c>
      <c r="E41" s="147">
        <f>E26+E27+E40</f>
        <v>5632536.7899999991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53663.972000000002</v>
      </c>
      <c r="E47" s="148">
        <v>39003.016900000002</v>
      </c>
    </row>
    <row r="48" spans="2:6">
      <c r="B48" s="122" t="s">
        <v>6</v>
      </c>
      <c r="C48" s="22" t="s">
        <v>41</v>
      </c>
      <c r="D48" s="203">
        <v>46695.256699999998</v>
      </c>
      <c r="E48" s="326">
        <v>35648.966999999997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154.97</v>
      </c>
      <c r="E50" s="148">
        <v>158.12</v>
      </c>
    </row>
    <row r="51" spans="2:5">
      <c r="B51" s="101" t="s">
        <v>6</v>
      </c>
      <c r="C51" s="15" t="s">
        <v>114</v>
      </c>
      <c r="D51" s="203">
        <v>154.97</v>
      </c>
      <c r="E51" s="74">
        <v>155.15</v>
      </c>
    </row>
    <row r="52" spans="2:5">
      <c r="B52" s="101" t="s">
        <v>8</v>
      </c>
      <c r="C52" s="15" t="s">
        <v>115</v>
      </c>
      <c r="D52" s="203">
        <v>156.37</v>
      </c>
      <c r="E52" s="74">
        <v>158.63</v>
      </c>
    </row>
    <row r="53" spans="2:5" ht="12.75" customHeight="1" thickBot="1">
      <c r="B53" s="102" t="s">
        <v>9</v>
      </c>
      <c r="C53" s="17" t="s">
        <v>41</v>
      </c>
      <c r="D53" s="205">
        <v>156.35</v>
      </c>
      <c r="E53" s="335">
        <v>158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5632536.79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5632536.79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5632536.79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5632536.79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154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15612415.41</v>
      </c>
      <c r="E11" s="229">
        <f>SUM(E12:E14)</f>
        <v>13663493.26</v>
      </c>
    </row>
    <row r="12" spans="2:7">
      <c r="B12" s="105" t="s">
        <v>4</v>
      </c>
      <c r="C12" s="6" t="s">
        <v>5</v>
      </c>
      <c r="D12" s="245">
        <v>15612415.41</v>
      </c>
      <c r="E12" s="251">
        <v>13663493.26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15612415.41</v>
      </c>
      <c r="E21" s="147">
        <f>E11-E17</f>
        <v>13663493.26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24134390.370000001</v>
      </c>
      <c r="E26" s="219">
        <f>D21</f>
        <v>15612415.41</v>
      </c>
    </row>
    <row r="27" spans="2:6">
      <c r="B27" s="9" t="s">
        <v>17</v>
      </c>
      <c r="C27" s="10" t="s">
        <v>111</v>
      </c>
      <c r="D27" s="198">
        <v>-3946139.92</v>
      </c>
      <c r="E27" s="292">
        <f>E28-E32</f>
        <v>-2536804.4000000004</v>
      </c>
      <c r="F27" s="71"/>
    </row>
    <row r="28" spans="2:6">
      <c r="B28" s="9" t="s">
        <v>18</v>
      </c>
      <c r="C28" s="10" t="s">
        <v>19</v>
      </c>
      <c r="D28" s="198">
        <v>769487.71</v>
      </c>
      <c r="E28" s="293">
        <v>37183.550000000003</v>
      </c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769487.71</v>
      </c>
      <c r="E31" s="295">
        <v>37183.550000000003</v>
      </c>
      <c r="F31" s="71"/>
    </row>
    <row r="32" spans="2:6">
      <c r="B32" s="91" t="s">
        <v>23</v>
      </c>
      <c r="C32" s="11" t="s">
        <v>24</v>
      </c>
      <c r="D32" s="198">
        <v>4715627.63</v>
      </c>
      <c r="E32" s="293">
        <f>SUM(E33:E39)</f>
        <v>2573987.9500000002</v>
      </c>
      <c r="F32" s="71"/>
    </row>
    <row r="33" spans="2:6">
      <c r="B33" s="103" t="s">
        <v>4</v>
      </c>
      <c r="C33" s="6" t="s">
        <v>25</v>
      </c>
      <c r="D33" s="199">
        <v>4257222.84</v>
      </c>
      <c r="E33" s="295">
        <f>2606032.26-185886.71</f>
        <v>2420145.5499999998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24490.98</v>
      </c>
      <c r="E35" s="295">
        <v>14919.62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213846.76</v>
      </c>
      <c r="E37" s="295">
        <v>136368.43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220067.05</v>
      </c>
      <c r="E39" s="297">
        <v>2554.35</v>
      </c>
      <c r="F39" s="71"/>
    </row>
    <row r="40" spans="2:6" ht="13.5" thickBot="1">
      <c r="B40" s="96" t="s">
        <v>35</v>
      </c>
      <c r="C40" s="97" t="s">
        <v>36</v>
      </c>
      <c r="D40" s="201">
        <v>288697.40000000002</v>
      </c>
      <c r="E40" s="306">
        <v>587882.25</v>
      </c>
    </row>
    <row r="41" spans="2:6" ht="13.5" thickBot="1">
      <c r="B41" s="98" t="s">
        <v>37</v>
      </c>
      <c r="C41" s="99" t="s">
        <v>38</v>
      </c>
      <c r="D41" s="202">
        <v>20476947.850000001</v>
      </c>
      <c r="E41" s="147">
        <f>E26+E27+E40</f>
        <v>13663493.26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167020.00255999999</v>
      </c>
      <c r="E47" s="148">
        <v>105911.50809999999</v>
      </c>
    </row>
    <row r="48" spans="2:6">
      <c r="B48" s="122" t="s">
        <v>6</v>
      </c>
      <c r="C48" s="22" t="s">
        <v>41</v>
      </c>
      <c r="D48" s="203">
        <v>141880.64869999999</v>
      </c>
      <c r="E48" s="326">
        <v>88798.942299999995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144.5</v>
      </c>
      <c r="E50" s="148">
        <v>147.41</v>
      </c>
    </row>
    <row r="51" spans="2:5">
      <c r="B51" s="101" t="s">
        <v>6</v>
      </c>
      <c r="C51" s="15" t="s">
        <v>114</v>
      </c>
      <c r="D51" s="203">
        <v>144.07</v>
      </c>
      <c r="E51" s="74">
        <v>146.54</v>
      </c>
    </row>
    <row r="52" spans="2:5">
      <c r="B52" s="101" t="s">
        <v>8</v>
      </c>
      <c r="C52" s="15" t="s">
        <v>115</v>
      </c>
      <c r="D52" s="203">
        <v>146.76</v>
      </c>
      <c r="E52" s="74">
        <v>153.87</v>
      </c>
    </row>
    <row r="53" spans="2:5" ht="12.75" customHeight="1" thickBot="1">
      <c r="B53" s="102" t="s">
        <v>9</v>
      </c>
      <c r="C53" s="17" t="s">
        <v>41</v>
      </c>
      <c r="D53" s="205">
        <v>146.44999999999999</v>
      </c>
      <c r="E53" s="335">
        <v>153.87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13663493.26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13663493.26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13663493.26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13663493.26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86"/>
      <c r="C4" s="86"/>
      <c r="D4" s="86"/>
      <c r="E4" s="86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155</v>
      </c>
      <c r="C6" s="351"/>
      <c r="D6" s="351"/>
      <c r="E6" s="351"/>
    </row>
    <row r="7" spans="2:5" ht="14.25">
      <c r="B7" s="88"/>
      <c r="C7" s="88"/>
      <c r="D7" s="88"/>
      <c r="E7" s="8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87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92509.25</v>
      </c>
      <c r="E11" s="229">
        <f>SUM(E12:E14)</f>
        <v>90374.399999999994</v>
      </c>
    </row>
    <row r="12" spans="2:5">
      <c r="B12" s="105" t="s">
        <v>4</v>
      </c>
      <c r="C12" s="6" t="s">
        <v>5</v>
      </c>
      <c r="D12" s="245">
        <v>92509.25</v>
      </c>
      <c r="E12" s="251">
        <v>90374.399999999994</v>
      </c>
    </row>
    <row r="13" spans="2:5">
      <c r="B13" s="105" t="s">
        <v>6</v>
      </c>
      <c r="C13" s="68" t="s">
        <v>7</v>
      </c>
      <c r="D13" s="241"/>
      <c r="E13" s="252"/>
    </row>
    <row r="14" spans="2:5">
      <c r="B14" s="105" t="s">
        <v>8</v>
      </c>
      <c r="C14" s="68" t="s">
        <v>10</v>
      </c>
      <c r="D14" s="241"/>
      <c r="E14" s="252"/>
    </row>
    <row r="15" spans="2:5">
      <c r="B15" s="105" t="s">
        <v>106</v>
      </c>
      <c r="C15" s="68" t="s">
        <v>11</v>
      </c>
      <c r="D15" s="241"/>
      <c r="E15" s="252"/>
    </row>
    <row r="16" spans="2:5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92509.25</v>
      </c>
      <c r="E21" s="147">
        <f>E11-E17</f>
        <v>90374.399999999994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162660.99</v>
      </c>
      <c r="E26" s="219">
        <f>D21</f>
        <v>92509.25</v>
      </c>
    </row>
    <row r="27" spans="2:6">
      <c r="B27" s="9" t="s">
        <v>17</v>
      </c>
      <c r="C27" s="10" t="s">
        <v>111</v>
      </c>
      <c r="D27" s="198">
        <v>-51036.26</v>
      </c>
      <c r="E27" s="292">
        <f>E28-E32</f>
        <v>-141.16999999999996</v>
      </c>
      <c r="F27" s="71"/>
    </row>
    <row r="28" spans="2:6">
      <c r="B28" s="9" t="s">
        <v>18</v>
      </c>
      <c r="C28" s="10" t="s">
        <v>19</v>
      </c>
      <c r="D28" s="198">
        <v>1260.21</v>
      </c>
      <c r="E28" s="293">
        <v>500</v>
      </c>
      <c r="F28" s="71"/>
    </row>
    <row r="29" spans="2:6">
      <c r="B29" s="103" t="s">
        <v>4</v>
      </c>
      <c r="C29" s="6" t="s">
        <v>20</v>
      </c>
      <c r="D29" s="199">
        <v>1260.21</v>
      </c>
      <c r="E29" s="295">
        <v>500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52296.47</v>
      </c>
      <c r="E32" s="293">
        <f>SUM(E33:E39)</f>
        <v>641.16999999999996</v>
      </c>
      <c r="F32" s="71"/>
    </row>
    <row r="33" spans="2:6">
      <c r="B33" s="103" t="s">
        <v>4</v>
      </c>
      <c r="C33" s="6" t="s">
        <v>25</v>
      </c>
      <c r="D33" s="199">
        <v>5355.4400000000005</v>
      </c>
      <c r="E33" s="295"/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141.07</v>
      </c>
      <c r="E35" s="295">
        <v>138.47999999999999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881.3</v>
      </c>
      <c r="E37" s="295">
        <v>502.69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45918.66</v>
      </c>
      <c r="E39" s="297"/>
      <c r="F39" s="71"/>
    </row>
    <row r="40" spans="2:6" ht="13.5" thickBot="1">
      <c r="B40" s="96" t="s">
        <v>35</v>
      </c>
      <c r="C40" s="97" t="s">
        <v>36</v>
      </c>
      <c r="D40" s="201">
        <v>5648.85</v>
      </c>
      <c r="E40" s="306">
        <v>-1993.68</v>
      </c>
    </row>
    <row r="41" spans="2:6" ht="13.5" thickBot="1">
      <c r="B41" s="98" t="s">
        <v>37</v>
      </c>
      <c r="C41" s="99" t="s">
        <v>38</v>
      </c>
      <c r="D41" s="202">
        <v>117273.57999999999</v>
      </c>
      <c r="E41" s="147">
        <f>E26+E27+E40</f>
        <v>90374.400000000009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1798.3525999999999</v>
      </c>
      <c r="E47" s="148">
        <v>1031.3183000000001</v>
      </c>
    </row>
    <row r="48" spans="2:6">
      <c r="B48" s="122" t="s">
        <v>6</v>
      </c>
      <c r="C48" s="22" t="s">
        <v>41</v>
      </c>
      <c r="D48" s="203">
        <v>1255.6057815845825</v>
      </c>
      <c r="E48" s="326">
        <v>1029.5556999999999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90.45</v>
      </c>
      <c r="E50" s="148">
        <v>89.7</v>
      </c>
    </row>
    <row r="51" spans="2:5">
      <c r="B51" s="101" t="s">
        <v>6</v>
      </c>
      <c r="C51" s="15" t="s">
        <v>114</v>
      </c>
      <c r="D51" s="203">
        <v>88.41</v>
      </c>
      <c r="E51" s="148">
        <v>61.46</v>
      </c>
    </row>
    <row r="52" spans="2:5">
      <c r="B52" s="101" t="s">
        <v>8</v>
      </c>
      <c r="C52" s="15" t="s">
        <v>115</v>
      </c>
      <c r="D52" s="203">
        <v>98.28</v>
      </c>
      <c r="E52" s="74">
        <v>93.12</v>
      </c>
    </row>
    <row r="53" spans="2:5" ht="13.5" customHeight="1" thickBot="1">
      <c r="B53" s="102" t="s">
        <v>9</v>
      </c>
      <c r="C53" s="17" t="s">
        <v>41</v>
      </c>
      <c r="D53" s="205">
        <v>93.4</v>
      </c>
      <c r="E53" s="335">
        <v>87.78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90374.399999999994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90374.399999999994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90374.399999999994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90374.399999999994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156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54663.37</v>
      </c>
      <c r="E11" s="229">
        <f>SUM(E12:E14)</f>
        <v>51416.59</v>
      </c>
    </row>
    <row r="12" spans="2:7">
      <c r="B12" s="105" t="s">
        <v>4</v>
      </c>
      <c r="C12" s="6" t="s">
        <v>5</v>
      </c>
      <c r="D12" s="245">
        <v>54663.37</v>
      </c>
      <c r="E12" s="251">
        <v>51416.59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54663.37</v>
      </c>
      <c r="E21" s="147">
        <f>E11-E17</f>
        <v>51416.59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48325.51</v>
      </c>
      <c r="E26" s="219">
        <f>D21</f>
        <v>54663.37</v>
      </c>
    </row>
    <row r="27" spans="2:6">
      <c r="B27" s="9" t="s">
        <v>17</v>
      </c>
      <c r="C27" s="10" t="s">
        <v>111</v>
      </c>
      <c r="D27" s="198">
        <v>-491.69</v>
      </c>
      <c r="E27" s="292">
        <v>-500.23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491.69</v>
      </c>
      <c r="E32" s="293">
        <v>500.23</v>
      </c>
      <c r="F32" s="71"/>
    </row>
    <row r="33" spans="2:6">
      <c r="B33" s="103" t="s">
        <v>4</v>
      </c>
      <c r="C33" s="6" t="s">
        <v>25</v>
      </c>
      <c r="D33" s="199"/>
      <c r="E33" s="295"/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44.71</v>
      </c>
      <c r="E35" s="295">
        <v>47.84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446.98</v>
      </c>
      <c r="E37" s="295">
        <v>452.39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6355.78</v>
      </c>
      <c r="E40" s="306">
        <v>-2746.55</v>
      </c>
    </row>
    <row r="41" spans="2:6" ht="13.5" thickBot="1">
      <c r="B41" s="98" t="s">
        <v>37</v>
      </c>
      <c r="C41" s="99" t="s">
        <v>38</v>
      </c>
      <c r="D41" s="202">
        <v>54189.599999999999</v>
      </c>
      <c r="E41" s="147">
        <f>E26+E27+E40</f>
        <v>51416.59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441.53050000000002</v>
      </c>
      <c r="E47" s="148">
        <v>416.29250000000002</v>
      </c>
    </row>
    <row r="48" spans="2:6">
      <c r="B48" s="122" t="s">
        <v>6</v>
      </c>
      <c r="C48" s="22" t="s">
        <v>41</v>
      </c>
      <c r="D48" s="203">
        <v>437.43619999999999</v>
      </c>
      <c r="E48" s="326">
        <v>412.19009999999997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109.45</v>
      </c>
      <c r="E50" s="148">
        <v>131.31</v>
      </c>
    </row>
    <row r="51" spans="2:5">
      <c r="B51" s="101" t="s">
        <v>6</v>
      </c>
      <c r="C51" s="15" t="s">
        <v>114</v>
      </c>
      <c r="D51" s="203">
        <v>108.74</v>
      </c>
      <c r="E51" s="74">
        <v>92.54</v>
      </c>
    </row>
    <row r="52" spans="2:5">
      <c r="B52" s="101" t="s">
        <v>8</v>
      </c>
      <c r="C52" s="15" t="s">
        <v>115</v>
      </c>
      <c r="D52" s="203">
        <v>127.62</v>
      </c>
      <c r="E52" s="74">
        <v>137.16999999999999</v>
      </c>
    </row>
    <row r="53" spans="2:5" ht="12.75" customHeight="1" thickBot="1">
      <c r="B53" s="102" t="s">
        <v>9</v>
      </c>
      <c r="C53" s="17" t="s">
        <v>41</v>
      </c>
      <c r="D53" s="205">
        <v>123.88</v>
      </c>
      <c r="E53" s="335">
        <v>124.74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51416.59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51416.59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51416.59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51416.59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  <col min="9" max="9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140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5"/>
      <c r="C10" s="75" t="s">
        <v>2</v>
      </c>
      <c r="D10" s="271" t="s">
        <v>250</v>
      </c>
      <c r="E10" s="270" t="s">
        <v>264</v>
      </c>
    </row>
    <row r="11" spans="2:7">
      <c r="B11" s="89" t="s">
        <v>3</v>
      </c>
      <c r="C11" s="127" t="s">
        <v>109</v>
      </c>
      <c r="D11" s="228">
        <v>69936021.609999999</v>
      </c>
      <c r="E11" s="229">
        <f>SUM(E12:E14)</f>
        <v>68989926.769999996</v>
      </c>
    </row>
    <row r="12" spans="2:7">
      <c r="B12" s="105" t="s">
        <v>4</v>
      </c>
      <c r="C12" s="6" t="s">
        <v>5</v>
      </c>
      <c r="D12" s="245">
        <v>69747112.810000002</v>
      </c>
      <c r="E12" s="251">
        <f>70036624.8+223230.87-1513359.45</f>
        <v>68746496.219999999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>
        <v>188908.79999999999</v>
      </c>
      <c r="E14" s="252">
        <f>E15</f>
        <v>243430.55</v>
      </c>
    </row>
    <row r="15" spans="2:7">
      <c r="B15" s="105" t="s">
        <v>106</v>
      </c>
      <c r="C15" s="68" t="s">
        <v>11</v>
      </c>
      <c r="D15" s="241">
        <v>188908.79999999999</v>
      </c>
      <c r="E15" s="252">
        <v>243430.55</v>
      </c>
    </row>
    <row r="16" spans="2:7">
      <c r="B16" s="106" t="s">
        <v>107</v>
      </c>
      <c r="C16" s="90" t="s">
        <v>12</v>
      </c>
      <c r="D16" s="243"/>
      <c r="E16" s="253"/>
    </row>
    <row r="17" spans="2:9">
      <c r="B17" s="9" t="s">
        <v>13</v>
      </c>
      <c r="C17" s="11" t="s">
        <v>65</v>
      </c>
      <c r="D17" s="244">
        <v>97450.8</v>
      </c>
      <c r="E17" s="254">
        <f>E18</f>
        <v>86145.19</v>
      </c>
    </row>
    <row r="18" spans="2:9">
      <c r="B18" s="105" t="s">
        <v>4</v>
      </c>
      <c r="C18" s="6" t="s">
        <v>11</v>
      </c>
      <c r="D18" s="243">
        <v>97450.8</v>
      </c>
      <c r="E18" s="253">
        <v>86145.19</v>
      </c>
    </row>
    <row r="19" spans="2:9" ht="15" customHeight="1">
      <c r="B19" s="105" t="s">
        <v>6</v>
      </c>
      <c r="C19" s="68" t="s">
        <v>108</v>
      </c>
      <c r="D19" s="241"/>
      <c r="E19" s="252"/>
    </row>
    <row r="20" spans="2:9" ht="13.5" customHeight="1" thickBot="1">
      <c r="B20" s="107" t="s">
        <v>8</v>
      </c>
      <c r="C20" s="69" t="s">
        <v>14</v>
      </c>
      <c r="D20" s="230"/>
      <c r="E20" s="231"/>
      <c r="I20" s="71"/>
    </row>
    <row r="21" spans="2:9" ht="13.5" thickBot="1">
      <c r="B21" s="359" t="s">
        <v>110</v>
      </c>
      <c r="C21" s="360"/>
      <c r="D21" s="232">
        <v>69838570.810000002</v>
      </c>
      <c r="E21" s="147">
        <f>E11-E17</f>
        <v>68903781.579999998</v>
      </c>
      <c r="F21" s="76"/>
    </row>
    <row r="22" spans="2:9">
      <c r="B22" s="3"/>
      <c r="C22" s="7"/>
      <c r="D22" s="8"/>
      <c r="E22" s="8"/>
    </row>
    <row r="23" spans="2:9" ht="13.5">
      <c r="B23" s="353" t="s">
        <v>104</v>
      </c>
      <c r="C23" s="361"/>
      <c r="D23" s="361"/>
      <c r="E23" s="361"/>
    </row>
    <row r="24" spans="2:9" ht="15.75" customHeight="1" thickBot="1">
      <c r="B24" s="352" t="s">
        <v>105</v>
      </c>
      <c r="C24" s="362"/>
      <c r="D24" s="362"/>
      <c r="E24" s="362"/>
    </row>
    <row r="25" spans="2:9" ht="13.5" thickBot="1">
      <c r="B25" s="85"/>
      <c r="C25" s="5" t="s">
        <v>2</v>
      </c>
      <c r="D25" s="70" t="s">
        <v>265</v>
      </c>
      <c r="E25" s="261" t="s">
        <v>264</v>
      </c>
    </row>
    <row r="26" spans="2:9">
      <c r="B26" s="94" t="s">
        <v>15</v>
      </c>
      <c r="C26" s="95" t="s">
        <v>16</v>
      </c>
      <c r="D26" s="197">
        <v>66193670.149999991</v>
      </c>
      <c r="E26" s="219">
        <f>D21</f>
        <v>69838570.810000002</v>
      </c>
    </row>
    <row r="27" spans="2:9">
      <c r="B27" s="9" t="s">
        <v>17</v>
      </c>
      <c r="C27" s="10" t="s">
        <v>111</v>
      </c>
      <c r="D27" s="198">
        <v>1167491.209999999</v>
      </c>
      <c r="E27" s="311">
        <f>E28-E32</f>
        <v>312601.16000000108</v>
      </c>
      <c r="F27" s="71"/>
    </row>
    <row r="28" spans="2:9">
      <c r="B28" s="9" t="s">
        <v>18</v>
      </c>
      <c r="C28" s="10" t="s">
        <v>19</v>
      </c>
      <c r="D28" s="198">
        <v>6409810.7399999993</v>
      </c>
      <c r="E28" s="311">
        <v>6857276.6200000001</v>
      </c>
      <c r="F28" s="71"/>
    </row>
    <row r="29" spans="2:9">
      <c r="B29" s="103" t="s">
        <v>4</v>
      </c>
      <c r="C29" s="6" t="s">
        <v>20</v>
      </c>
      <c r="D29" s="199">
        <v>5290586.5699999994</v>
      </c>
      <c r="E29" s="312">
        <v>5200763.0999999996</v>
      </c>
      <c r="F29" s="71"/>
    </row>
    <row r="30" spans="2:9">
      <c r="B30" s="103" t="s">
        <v>6</v>
      </c>
      <c r="C30" s="6" t="s">
        <v>21</v>
      </c>
      <c r="D30" s="199"/>
      <c r="E30" s="312"/>
      <c r="F30" s="71"/>
    </row>
    <row r="31" spans="2:9">
      <c r="B31" s="103" t="s">
        <v>8</v>
      </c>
      <c r="C31" s="6" t="s">
        <v>22</v>
      </c>
      <c r="D31" s="199">
        <v>1119224.17</v>
      </c>
      <c r="E31" s="312">
        <v>1656513.52</v>
      </c>
      <c r="F31" s="71"/>
    </row>
    <row r="32" spans="2:9">
      <c r="B32" s="91" t="s">
        <v>23</v>
      </c>
      <c r="C32" s="11" t="s">
        <v>24</v>
      </c>
      <c r="D32" s="198">
        <v>5242319.53</v>
      </c>
      <c r="E32" s="311">
        <f>SUM(E33:E39)</f>
        <v>6544675.459999999</v>
      </c>
      <c r="F32" s="71"/>
    </row>
    <row r="33" spans="2:6">
      <c r="B33" s="103" t="s">
        <v>4</v>
      </c>
      <c r="C33" s="6" t="s">
        <v>25</v>
      </c>
      <c r="D33" s="199">
        <v>4205877.42</v>
      </c>
      <c r="E33" s="312">
        <f>4701808.81-208852.16</f>
        <v>4492956.6499999994</v>
      </c>
      <c r="F33" s="71"/>
    </row>
    <row r="34" spans="2:6">
      <c r="B34" s="103" t="s">
        <v>6</v>
      </c>
      <c r="C34" s="6" t="s">
        <v>26</v>
      </c>
      <c r="D34" s="199"/>
      <c r="E34" s="312"/>
      <c r="F34" s="71"/>
    </row>
    <row r="35" spans="2:6">
      <c r="B35" s="103" t="s">
        <v>8</v>
      </c>
      <c r="C35" s="6" t="s">
        <v>27</v>
      </c>
      <c r="D35" s="199">
        <v>620833.41</v>
      </c>
      <c r="E35" s="312">
        <v>609709.05999999994</v>
      </c>
      <c r="F35" s="71"/>
    </row>
    <row r="36" spans="2:6">
      <c r="B36" s="103" t="s">
        <v>9</v>
      </c>
      <c r="C36" s="6" t="s">
        <v>28</v>
      </c>
      <c r="D36" s="199"/>
      <c r="E36" s="312"/>
      <c r="F36" s="71"/>
    </row>
    <row r="37" spans="2:6" ht="25.5">
      <c r="B37" s="103" t="s">
        <v>29</v>
      </c>
      <c r="C37" s="6" t="s">
        <v>30</v>
      </c>
      <c r="D37" s="199"/>
      <c r="E37" s="312"/>
      <c r="F37" s="71"/>
    </row>
    <row r="38" spans="2:6">
      <c r="B38" s="103" t="s">
        <v>31</v>
      </c>
      <c r="C38" s="6" t="s">
        <v>32</v>
      </c>
      <c r="D38" s="199"/>
      <c r="E38" s="312"/>
      <c r="F38" s="71"/>
    </row>
    <row r="39" spans="2:6">
      <c r="B39" s="104" t="s">
        <v>33</v>
      </c>
      <c r="C39" s="12" t="s">
        <v>34</v>
      </c>
      <c r="D39" s="200">
        <v>415608.7</v>
      </c>
      <c r="E39" s="312">
        <v>1442009.75</v>
      </c>
      <c r="F39" s="71"/>
    </row>
    <row r="40" spans="2:6" ht="13.5" thickBot="1">
      <c r="B40" s="96" t="s">
        <v>35</v>
      </c>
      <c r="C40" s="97" t="s">
        <v>36</v>
      </c>
      <c r="D40" s="201">
        <v>1017443.26</v>
      </c>
      <c r="E40" s="306">
        <v>-1247390.3899999999</v>
      </c>
    </row>
    <row r="41" spans="2:6" ht="13.5" thickBot="1">
      <c r="B41" s="98" t="s">
        <v>37</v>
      </c>
      <c r="C41" s="99" t="s">
        <v>38</v>
      </c>
      <c r="D41" s="202">
        <v>68378604.61999999</v>
      </c>
      <c r="E41" s="147">
        <f>E26+E27+E40</f>
        <v>68903781.579999998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.75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213"/>
      <c r="E46" s="28"/>
    </row>
    <row r="47" spans="2:6">
      <c r="B47" s="101" t="s">
        <v>4</v>
      </c>
      <c r="C47" s="15" t="s">
        <v>40</v>
      </c>
      <c r="D47" s="203">
        <v>1448976.9515</v>
      </c>
      <c r="E47" s="73">
        <v>1496773.2821000002</v>
      </c>
    </row>
    <row r="48" spans="2:6">
      <c r="B48" s="122" t="s">
        <v>6</v>
      </c>
      <c r="C48" s="22" t="s">
        <v>41</v>
      </c>
      <c r="D48" s="203">
        <v>1474824.262411057</v>
      </c>
      <c r="E48" s="308">
        <v>1503156.1379</v>
      </c>
    </row>
    <row r="49" spans="2:5">
      <c r="B49" s="119" t="s">
        <v>23</v>
      </c>
      <c r="C49" s="123" t="s">
        <v>113</v>
      </c>
      <c r="D49" s="277"/>
      <c r="E49" s="274"/>
    </row>
    <row r="50" spans="2:5">
      <c r="B50" s="101" t="s">
        <v>4</v>
      </c>
      <c r="C50" s="15" t="s">
        <v>40</v>
      </c>
      <c r="D50" s="203">
        <v>45.683038699568002</v>
      </c>
      <c r="E50" s="73">
        <v>46.659399999999998</v>
      </c>
    </row>
    <row r="51" spans="2:5">
      <c r="B51" s="101" t="s">
        <v>6</v>
      </c>
      <c r="C51" s="15" t="s">
        <v>114</v>
      </c>
      <c r="D51" s="203">
        <v>45.683</v>
      </c>
      <c r="E51" s="73">
        <v>45.153700000000001</v>
      </c>
    </row>
    <row r="52" spans="2:5">
      <c r="B52" s="101" t="s">
        <v>8</v>
      </c>
      <c r="C52" s="15" t="s">
        <v>115</v>
      </c>
      <c r="D52" s="203">
        <v>46.388599999999997</v>
      </c>
      <c r="E52" s="74">
        <v>46.864600000000003</v>
      </c>
    </row>
    <row r="53" spans="2:5" ht="13.5" customHeight="1" thickBot="1">
      <c r="B53" s="102" t="s">
        <v>9</v>
      </c>
      <c r="C53" s="17" t="s">
        <v>41</v>
      </c>
      <c r="D53" s="205">
        <v>46.363900000000001</v>
      </c>
      <c r="E53" s="313">
        <v>45.839399999999998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68746496.219999999</v>
      </c>
      <c r="E58" s="31">
        <f>D58/E21</f>
        <v>0.99771731889900139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5.5">
      <c r="B60" s="14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f>70036624.8-1513359.45</f>
        <v>68523265.349999994</v>
      </c>
      <c r="E64" s="80">
        <f>D64/E21</f>
        <v>0.99447757116845303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223230.87</v>
      </c>
      <c r="E69" s="78">
        <f>D69/E21</f>
        <v>3.2397477305482888E-3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243430.55</v>
      </c>
      <c r="E72" s="118">
        <f>D72/E21</f>
        <v>3.5329055157497786E-3</v>
      </c>
    </row>
    <row r="73" spans="2:5">
      <c r="B73" s="23" t="s">
        <v>62</v>
      </c>
      <c r="C73" s="24" t="s">
        <v>65</v>
      </c>
      <c r="D73" s="25">
        <f>E17</f>
        <v>86145.19</v>
      </c>
      <c r="E73" s="26">
        <f>D73/E21</f>
        <v>1.2502244147511998E-3</v>
      </c>
    </row>
    <row r="74" spans="2:5">
      <c r="B74" s="119" t="s">
        <v>64</v>
      </c>
      <c r="C74" s="120" t="s">
        <v>66</v>
      </c>
      <c r="D74" s="121">
        <f>D58++D71+D72-D73</f>
        <v>68903781.579999998</v>
      </c>
      <c r="E74" s="66">
        <f>E58+E72-E73</f>
        <v>1</v>
      </c>
    </row>
    <row r="75" spans="2:5">
      <c r="B75" s="14" t="s">
        <v>4</v>
      </c>
      <c r="C75" s="15" t="s">
        <v>67</v>
      </c>
      <c r="D75" s="77">
        <f>D74</f>
        <v>68903781.579999998</v>
      </c>
      <c r="E75" s="78">
        <f>E74</f>
        <v>1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14"/>
      <c r="E78" s="214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86"/>
      <c r="C4" s="86"/>
      <c r="D4" s="86"/>
      <c r="E4" s="86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157</v>
      </c>
      <c r="C6" s="351"/>
      <c r="D6" s="351"/>
      <c r="E6" s="351"/>
    </row>
    <row r="7" spans="2:5" ht="14.25">
      <c r="B7" s="88"/>
      <c r="C7" s="88"/>
      <c r="D7" s="88"/>
      <c r="E7" s="8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87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131110.59</v>
      </c>
      <c r="E11" s="229">
        <f>SUM(E12:E14)</f>
        <v>113341.41</v>
      </c>
    </row>
    <row r="12" spans="2:5">
      <c r="B12" s="105" t="s">
        <v>4</v>
      </c>
      <c r="C12" s="6" t="s">
        <v>5</v>
      </c>
      <c r="D12" s="245">
        <v>131110.59</v>
      </c>
      <c r="E12" s="251">
        <v>113341.41</v>
      </c>
    </row>
    <row r="13" spans="2:5">
      <c r="B13" s="105" t="s">
        <v>6</v>
      </c>
      <c r="C13" s="68" t="s">
        <v>7</v>
      </c>
      <c r="D13" s="241"/>
      <c r="E13" s="252"/>
    </row>
    <row r="14" spans="2:5">
      <c r="B14" s="105" t="s">
        <v>8</v>
      </c>
      <c r="C14" s="68" t="s">
        <v>10</v>
      </c>
      <c r="D14" s="241"/>
      <c r="E14" s="252"/>
    </row>
    <row r="15" spans="2:5">
      <c r="B15" s="105" t="s">
        <v>106</v>
      </c>
      <c r="C15" s="68" t="s">
        <v>11</v>
      </c>
      <c r="D15" s="241"/>
      <c r="E15" s="252"/>
    </row>
    <row r="16" spans="2:5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131110.59</v>
      </c>
      <c r="E21" s="147">
        <f>E11-E17</f>
        <v>113341.41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121378.68</v>
      </c>
      <c r="E26" s="219">
        <f>D21</f>
        <v>131110.59</v>
      </c>
    </row>
    <row r="27" spans="2:6">
      <c r="B27" s="9" t="s">
        <v>17</v>
      </c>
      <c r="C27" s="10" t="s">
        <v>111</v>
      </c>
      <c r="D27" s="198">
        <v>-1021.67</v>
      </c>
      <c r="E27" s="292">
        <v>-923.17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1021.67</v>
      </c>
      <c r="E32" s="293">
        <v>923.17</v>
      </c>
      <c r="F32" s="71"/>
    </row>
    <row r="33" spans="2:6">
      <c r="B33" s="103" t="s">
        <v>4</v>
      </c>
      <c r="C33" s="6" t="s">
        <v>25</v>
      </c>
      <c r="D33" s="199"/>
      <c r="E33" s="295"/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/>
      <c r="E35" s="295"/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1021.67</v>
      </c>
      <c r="E37" s="295">
        <v>923.17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9267.7999999999993</v>
      </c>
      <c r="E40" s="306">
        <v>-16846.009999999998</v>
      </c>
    </row>
    <row r="41" spans="2:6" ht="13.5" thickBot="1">
      <c r="B41" s="98" t="s">
        <v>37</v>
      </c>
      <c r="C41" s="99" t="s">
        <v>38</v>
      </c>
      <c r="D41" s="202">
        <v>129624.81</v>
      </c>
      <c r="E41" s="147">
        <f>E26+E27+E40</f>
        <v>113341.41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1400.4694</v>
      </c>
      <c r="E47" s="73">
        <v>1378.2255</v>
      </c>
    </row>
    <row r="48" spans="2:6">
      <c r="B48" s="122" t="s">
        <v>6</v>
      </c>
      <c r="C48" s="22" t="s">
        <v>41</v>
      </c>
      <c r="D48" s="203">
        <v>1389.3334</v>
      </c>
      <c r="E48" s="330">
        <v>1367.2064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86.67</v>
      </c>
      <c r="E50" s="74">
        <v>95.13</v>
      </c>
    </row>
    <row r="51" spans="2:5">
      <c r="B51" s="101" t="s">
        <v>6</v>
      </c>
      <c r="C51" s="15" t="s">
        <v>114</v>
      </c>
      <c r="D51" s="203">
        <v>86.58</v>
      </c>
      <c r="E51" s="74">
        <v>67.849999999999994</v>
      </c>
    </row>
    <row r="52" spans="2:5">
      <c r="B52" s="101" t="s">
        <v>8</v>
      </c>
      <c r="C52" s="15" t="s">
        <v>115</v>
      </c>
      <c r="D52" s="203">
        <v>95.76</v>
      </c>
      <c r="E52" s="74">
        <v>95.54</v>
      </c>
    </row>
    <row r="53" spans="2:5" ht="12.75" customHeight="1" thickBot="1">
      <c r="B53" s="102" t="s">
        <v>9</v>
      </c>
      <c r="C53" s="17" t="s">
        <v>41</v>
      </c>
      <c r="D53" s="205">
        <v>93.3</v>
      </c>
      <c r="E53" s="335">
        <v>82.9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113341.41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113341.41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113341.41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113341.41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158</v>
      </c>
      <c r="C6" s="351"/>
      <c r="D6" s="351"/>
      <c r="E6" s="351"/>
    </row>
    <row r="7" spans="2:7" ht="14.25">
      <c r="B7" s="149"/>
      <c r="C7" s="149"/>
      <c r="D7" s="149"/>
      <c r="E7" s="149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50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38484.19</v>
      </c>
      <c r="E11" s="229">
        <f>SUM(E12:E14)</f>
        <v>34061.379999999997</v>
      </c>
    </row>
    <row r="12" spans="2:7">
      <c r="B12" s="105" t="s">
        <v>4</v>
      </c>
      <c r="C12" s="6" t="s">
        <v>5</v>
      </c>
      <c r="D12" s="245">
        <v>38484.19</v>
      </c>
      <c r="E12" s="251">
        <v>34061.379999999997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38484.19</v>
      </c>
      <c r="E21" s="147">
        <f>E11-E17</f>
        <v>34061.379999999997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150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35242.28</v>
      </c>
      <c r="E26" s="219">
        <f>D21</f>
        <v>38484.19</v>
      </c>
    </row>
    <row r="27" spans="2:6">
      <c r="B27" s="9" t="s">
        <v>17</v>
      </c>
      <c r="C27" s="10" t="s">
        <v>111</v>
      </c>
      <c r="D27" s="198">
        <v>-346.78000000000003</v>
      </c>
      <c r="E27" s="292">
        <v>-437.8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346.78000000000003</v>
      </c>
      <c r="E32" s="293">
        <v>437.8</v>
      </c>
      <c r="F32" s="71"/>
    </row>
    <row r="33" spans="2:6">
      <c r="B33" s="103" t="s">
        <v>4</v>
      </c>
      <c r="C33" s="6" t="s">
        <v>25</v>
      </c>
      <c r="D33" s="199"/>
      <c r="E33" s="295"/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30.43</v>
      </c>
      <c r="E35" s="295">
        <v>41.37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316.35000000000002</v>
      </c>
      <c r="E37" s="295">
        <v>396.43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3059.67</v>
      </c>
      <c r="E40" s="306">
        <v>-3985.01</v>
      </c>
    </row>
    <row r="41" spans="2:6" ht="13.5" thickBot="1">
      <c r="B41" s="98" t="s">
        <v>37</v>
      </c>
      <c r="C41" s="99" t="s">
        <v>38</v>
      </c>
      <c r="D41" s="202">
        <v>37955.17</v>
      </c>
      <c r="E41" s="147">
        <f>E26+E27+E40</f>
        <v>34061.379999999997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5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399.93509999999998</v>
      </c>
      <c r="E47" s="73">
        <v>392.53559999999999</v>
      </c>
    </row>
    <row r="48" spans="2:6">
      <c r="B48" s="122" t="s">
        <v>6</v>
      </c>
      <c r="C48" s="22" t="s">
        <v>41</v>
      </c>
      <c r="D48" s="203">
        <v>396.23309999999998</v>
      </c>
      <c r="E48" s="330">
        <v>387.63380000000001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88.12</v>
      </c>
      <c r="E50" s="74">
        <v>98.04</v>
      </c>
    </row>
    <row r="51" spans="2:5">
      <c r="B51" s="101" t="s">
        <v>6</v>
      </c>
      <c r="C51" s="15" t="s">
        <v>114</v>
      </c>
      <c r="D51" s="203">
        <v>87.78</v>
      </c>
      <c r="E51" s="74">
        <v>67.760000000000005</v>
      </c>
    </row>
    <row r="52" spans="2:5">
      <c r="B52" s="101" t="s">
        <v>8</v>
      </c>
      <c r="C52" s="15" t="s">
        <v>115</v>
      </c>
      <c r="D52" s="203">
        <v>99.11</v>
      </c>
      <c r="E52" s="74">
        <v>100.13</v>
      </c>
    </row>
    <row r="53" spans="2:5" ht="13.5" thickBot="1">
      <c r="B53" s="102" t="s">
        <v>9</v>
      </c>
      <c r="C53" s="17" t="s">
        <v>41</v>
      </c>
      <c r="D53" s="205">
        <v>95.79</v>
      </c>
      <c r="E53" s="335">
        <v>87.87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34061.379999999997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34061.379999999997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34061.379999999997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34061.379999999997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6">
      <c r="B1" s="1"/>
      <c r="C1" s="1"/>
      <c r="D1" s="2"/>
      <c r="E1" s="2"/>
    </row>
    <row r="2" spans="2:6" ht="15.75">
      <c r="B2" s="349" t="s">
        <v>0</v>
      </c>
      <c r="C2" s="349"/>
      <c r="D2" s="349"/>
      <c r="E2" s="349"/>
    </row>
    <row r="3" spans="2:6" ht="15.75">
      <c r="B3" s="349" t="s">
        <v>272</v>
      </c>
      <c r="C3" s="349"/>
      <c r="D3" s="349"/>
      <c r="E3" s="349"/>
    </row>
    <row r="4" spans="2:6" ht="15">
      <c r="B4" s="146"/>
      <c r="C4" s="146"/>
      <c r="D4" s="146"/>
      <c r="E4" s="146"/>
    </row>
    <row r="5" spans="2:6" ht="14.25">
      <c r="B5" s="350" t="s">
        <v>1</v>
      </c>
      <c r="C5" s="350"/>
      <c r="D5" s="350"/>
      <c r="E5" s="350"/>
    </row>
    <row r="6" spans="2:6" ht="14.25">
      <c r="B6" s="351" t="s">
        <v>159</v>
      </c>
      <c r="C6" s="351"/>
      <c r="D6" s="351"/>
      <c r="E6" s="351"/>
    </row>
    <row r="7" spans="2:6" ht="14.25">
      <c r="B7" s="149"/>
      <c r="C7" s="149"/>
      <c r="D7" s="149"/>
      <c r="E7" s="149"/>
    </row>
    <row r="8" spans="2:6" ht="13.5">
      <c r="B8" s="353" t="s">
        <v>18</v>
      </c>
      <c r="C8" s="355"/>
      <c r="D8" s="355"/>
      <c r="E8" s="355"/>
    </row>
    <row r="9" spans="2:6" ht="16.5" thickBot="1">
      <c r="B9" s="352" t="s">
        <v>103</v>
      </c>
      <c r="C9" s="352"/>
      <c r="D9" s="352"/>
      <c r="E9" s="352"/>
    </row>
    <row r="10" spans="2:6" ht="13.5" thickBot="1">
      <c r="B10" s="150"/>
      <c r="C10" s="75" t="s">
        <v>2</v>
      </c>
      <c r="D10" s="70" t="s">
        <v>250</v>
      </c>
      <c r="E10" s="261" t="s">
        <v>264</v>
      </c>
    </row>
    <row r="11" spans="2:6">
      <c r="B11" s="89" t="s">
        <v>3</v>
      </c>
      <c r="C11" s="127" t="s">
        <v>109</v>
      </c>
      <c r="D11" s="228">
        <v>380746.27</v>
      </c>
      <c r="E11" s="229">
        <f>SUM(E12:E14)</f>
        <v>397405.71</v>
      </c>
      <c r="F11" s="169"/>
    </row>
    <row r="12" spans="2:6">
      <c r="B12" s="170" t="s">
        <v>4</v>
      </c>
      <c r="C12" s="171" t="s">
        <v>5</v>
      </c>
      <c r="D12" s="245">
        <v>380746.27</v>
      </c>
      <c r="E12" s="251">
        <v>397405.71</v>
      </c>
      <c r="F12" s="169"/>
    </row>
    <row r="13" spans="2:6">
      <c r="B13" s="170" t="s">
        <v>6</v>
      </c>
      <c r="C13" s="172" t="s">
        <v>7</v>
      </c>
      <c r="D13" s="241"/>
      <c r="E13" s="252"/>
      <c r="F13" s="169"/>
    </row>
    <row r="14" spans="2:6">
      <c r="B14" s="170" t="s">
        <v>8</v>
      </c>
      <c r="C14" s="172" t="s">
        <v>10</v>
      </c>
      <c r="D14" s="241"/>
      <c r="E14" s="252"/>
      <c r="F14" s="169"/>
    </row>
    <row r="15" spans="2:6">
      <c r="B15" s="170" t="s">
        <v>106</v>
      </c>
      <c r="C15" s="172" t="s">
        <v>11</v>
      </c>
      <c r="D15" s="241"/>
      <c r="E15" s="252"/>
      <c r="F15" s="169"/>
    </row>
    <row r="16" spans="2:6">
      <c r="B16" s="173" t="s">
        <v>107</v>
      </c>
      <c r="C16" s="174" t="s">
        <v>12</v>
      </c>
      <c r="D16" s="243"/>
      <c r="E16" s="253"/>
      <c r="F16" s="169"/>
    </row>
    <row r="17" spans="2:6">
      <c r="B17" s="9" t="s">
        <v>13</v>
      </c>
      <c r="C17" s="11" t="s">
        <v>65</v>
      </c>
      <c r="D17" s="244"/>
      <c r="E17" s="254"/>
      <c r="F17" s="169"/>
    </row>
    <row r="18" spans="2:6">
      <c r="B18" s="170" t="s">
        <v>4</v>
      </c>
      <c r="C18" s="171" t="s">
        <v>11</v>
      </c>
      <c r="D18" s="243"/>
      <c r="E18" s="253"/>
      <c r="F18" s="169"/>
    </row>
    <row r="19" spans="2:6" ht="15" customHeight="1">
      <c r="B19" s="170" t="s">
        <v>6</v>
      </c>
      <c r="C19" s="172" t="s">
        <v>108</v>
      </c>
      <c r="D19" s="241"/>
      <c r="E19" s="252"/>
      <c r="F19" s="169"/>
    </row>
    <row r="20" spans="2:6" ht="13.5" thickBot="1">
      <c r="B20" s="175" t="s">
        <v>8</v>
      </c>
      <c r="C20" s="176" t="s">
        <v>14</v>
      </c>
      <c r="D20" s="230"/>
      <c r="E20" s="231"/>
      <c r="F20" s="169"/>
    </row>
    <row r="21" spans="2:6" ht="13.5" thickBot="1">
      <c r="B21" s="359" t="s">
        <v>110</v>
      </c>
      <c r="C21" s="360"/>
      <c r="D21" s="232">
        <v>380746.27</v>
      </c>
      <c r="E21" s="147">
        <f>E11-E17</f>
        <v>397405.71</v>
      </c>
      <c r="F21" s="151"/>
    </row>
    <row r="22" spans="2:6">
      <c r="B22" s="3"/>
      <c r="C22" s="7"/>
      <c r="D22" s="8"/>
      <c r="E22" s="8"/>
      <c r="F22" s="169"/>
    </row>
    <row r="23" spans="2:6" ht="13.5">
      <c r="B23" s="353" t="s">
        <v>104</v>
      </c>
      <c r="C23" s="363"/>
      <c r="D23" s="363"/>
      <c r="E23" s="363"/>
      <c r="F23" s="169"/>
    </row>
    <row r="24" spans="2:6" ht="15.75" customHeight="1" thickBot="1">
      <c r="B24" s="352" t="s">
        <v>105</v>
      </c>
      <c r="C24" s="364"/>
      <c r="D24" s="364"/>
      <c r="E24" s="364"/>
      <c r="F24" s="169"/>
    </row>
    <row r="25" spans="2:6" ht="13.5" thickBot="1">
      <c r="B25" s="167"/>
      <c r="C25" s="177" t="s">
        <v>2</v>
      </c>
      <c r="D25" s="70" t="s">
        <v>265</v>
      </c>
      <c r="E25" s="261" t="s">
        <v>264</v>
      </c>
      <c r="F25" s="169"/>
    </row>
    <row r="26" spans="2:6">
      <c r="B26" s="94" t="s">
        <v>15</v>
      </c>
      <c r="C26" s="95" t="s">
        <v>16</v>
      </c>
      <c r="D26" s="197">
        <v>268396.09000000003</v>
      </c>
      <c r="E26" s="219">
        <f>D21</f>
        <v>380746.27</v>
      </c>
      <c r="F26" s="169"/>
    </row>
    <row r="27" spans="2:6">
      <c r="B27" s="9" t="s">
        <v>17</v>
      </c>
      <c r="C27" s="10" t="s">
        <v>111</v>
      </c>
      <c r="D27" s="198">
        <v>17376.86</v>
      </c>
      <c r="E27" s="292">
        <f>E28-E32</f>
        <v>89931.690000000031</v>
      </c>
      <c r="F27" s="151"/>
    </row>
    <row r="28" spans="2:6">
      <c r="B28" s="9" t="s">
        <v>18</v>
      </c>
      <c r="C28" s="10" t="s">
        <v>19</v>
      </c>
      <c r="D28" s="198">
        <v>105185.01</v>
      </c>
      <c r="E28" s="293">
        <f>SUM(E29:E31)</f>
        <v>281505.28000000003</v>
      </c>
      <c r="F28" s="151"/>
    </row>
    <row r="29" spans="2:6">
      <c r="B29" s="178" t="s">
        <v>4</v>
      </c>
      <c r="C29" s="171" t="s">
        <v>20</v>
      </c>
      <c r="D29" s="199">
        <v>72625.679999999993</v>
      </c>
      <c r="E29" s="295">
        <v>80073.55</v>
      </c>
      <c r="F29" s="151"/>
    </row>
    <row r="30" spans="2:6">
      <c r="B30" s="178" t="s">
        <v>6</v>
      </c>
      <c r="C30" s="171" t="s">
        <v>21</v>
      </c>
      <c r="D30" s="199"/>
      <c r="E30" s="295"/>
      <c r="F30" s="151"/>
    </row>
    <row r="31" spans="2:6">
      <c r="B31" s="178" t="s">
        <v>8</v>
      </c>
      <c r="C31" s="171" t="s">
        <v>22</v>
      </c>
      <c r="D31" s="199">
        <v>32559.33</v>
      </c>
      <c r="E31" s="295">
        <v>201431.73</v>
      </c>
      <c r="F31" s="151"/>
    </row>
    <row r="32" spans="2:6">
      <c r="B32" s="91" t="s">
        <v>23</v>
      </c>
      <c r="C32" s="11" t="s">
        <v>24</v>
      </c>
      <c r="D32" s="198">
        <v>87808.15</v>
      </c>
      <c r="E32" s="293">
        <f>SUM(E33:E39)</f>
        <v>191573.59</v>
      </c>
      <c r="F32" s="151"/>
    </row>
    <row r="33" spans="2:6">
      <c r="B33" s="178" t="s">
        <v>4</v>
      </c>
      <c r="C33" s="171" t="s">
        <v>25</v>
      </c>
      <c r="D33" s="199">
        <v>21774.86</v>
      </c>
      <c r="E33" s="295">
        <f>23167.66+2736.39</f>
        <v>25904.05</v>
      </c>
      <c r="F33" s="151"/>
    </row>
    <row r="34" spans="2:6">
      <c r="B34" s="178" t="s">
        <v>6</v>
      </c>
      <c r="C34" s="171" t="s">
        <v>26</v>
      </c>
      <c r="D34" s="199"/>
      <c r="E34" s="295"/>
      <c r="F34" s="151"/>
    </row>
    <row r="35" spans="2:6">
      <c r="B35" s="178" t="s">
        <v>8</v>
      </c>
      <c r="C35" s="171" t="s">
        <v>27</v>
      </c>
      <c r="D35" s="199">
        <v>6063.18</v>
      </c>
      <c r="E35" s="295">
        <v>6469.96</v>
      </c>
      <c r="F35" s="151"/>
    </row>
    <row r="36" spans="2:6">
      <c r="B36" s="178" t="s">
        <v>9</v>
      </c>
      <c r="C36" s="171" t="s">
        <v>28</v>
      </c>
      <c r="D36" s="199"/>
      <c r="E36" s="295"/>
      <c r="F36" s="151"/>
    </row>
    <row r="37" spans="2:6" ht="25.5">
      <c r="B37" s="178" t="s">
        <v>29</v>
      </c>
      <c r="C37" s="171" t="s">
        <v>30</v>
      </c>
      <c r="D37" s="199">
        <v>1056.76</v>
      </c>
      <c r="E37" s="295">
        <v>1432.26</v>
      </c>
      <c r="F37" s="151"/>
    </row>
    <row r="38" spans="2:6">
      <c r="B38" s="178" t="s">
        <v>31</v>
      </c>
      <c r="C38" s="171" t="s">
        <v>32</v>
      </c>
      <c r="D38" s="199"/>
      <c r="E38" s="295"/>
      <c r="F38" s="151"/>
    </row>
    <row r="39" spans="2:6">
      <c r="B39" s="179" t="s">
        <v>33</v>
      </c>
      <c r="C39" s="180" t="s">
        <v>34</v>
      </c>
      <c r="D39" s="200">
        <v>58913.35</v>
      </c>
      <c r="E39" s="297">
        <v>157767.32</v>
      </c>
      <c r="F39" s="151"/>
    </row>
    <row r="40" spans="2:6" ht="13.5" thickBot="1">
      <c r="B40" s="96" t="s">
        <v>35</v>
      </c>
      <c r="C40" s="97" t="s">
        <v>36</v>
      </c>
      <c r="D40" s="201">
        <v>29303.66</v>
      </c>
      <c r="E40" s="306">
        <v>-73272.25</v>
      </c>
      <c r="F40" s="169"/>
    </row>
    <row r="41" spans="2:6" ht="13.5" thickBot="1">
      <c r="B41" s="98" t="s">
        <v>37</v>
      </c>
      <c r="C41" s="99" t="s">
        <v>38</v>
      </c>
      <c r="D41" s="202">
        <v>315076.61</v>
      </c>
      <c r="E41" s="147">
        <f>E26+E27+E40</f>
        <v>397405.71000000008</v>
      </c>
      <c r="F41" s="151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5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2482.39077</v>
      </c>
      <c r="E47" s="73">
        <v>2915.3618999999999</v>
      </c>
    </row>
    <row r="48" spans="2:6">
      <c r="B48" s="122" t="s">
        <v>6</v>
      </c>
      <c r="C48" s="22" t="s">
        <v>41</v>
      </c>
      <c r="D48" s="203">
        <v>2631.1199164926929</v>
      </c>
      <c r="E48" s="330">
        <v>3358.4526999999998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108.12</v>
      </c>
      <c r="E50" s="74">
        <v>130.6</v>
      </c>
    </row>
    <row r="51" spans="2:5">
      <c r="B51" s="101" t="s">
        <v>6</v>
      </c>
      <c r="C51" s="15" t="s">
        <v>114</v>
      </c>
      <c r="D51" s="203">
        <v>108.05</v>
      </c>
      <c r="E51" s="74">
        <v>105.5</v>
      </c>
    </row>
    <row r="52" spans="2:5">
      <c r="B52" s="101" t="s">
        <v>8</v>
      </c>
      <c r="C52" s="15" t="s">
        <v>115</v>
      </c>
      <c r="D52" s="203">
        <v>122.54</v>
      </c>
      <c r="E52" s="74">
        <v>138.91</v>
      </c>
    </row>
    <row r="53" spans="2:5" ht="13.5" thickBot="1">
      <c r="B53" s="102" t="s">
        <v>9</v>
      </c>
      <c r="C53" s="17" t="s">
        <v>41</v>
      </c>
      <c r="D53" s="205">
        <v>119.75</v>
      </c>
      <c r="E53" s="335">
        <v>118.33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397405.71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397405.71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397405.71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397405.71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6"/>
      <c r="C4" s="146"/>
      <c r="D4" s="146"/>
      <c r="E4" s="146"/>
    </row>
    <row r="5" spans="2:5" ht="14.25">
      <c r="B5" s="350" t="s">
        <v>1</v>
      </c>
      <c r="C5" s="350"/>
      <c r="D5" s="350"/>
      <c r="E5" s="350"/>
    </row>
    <row r="6" spans="2:5" ht="14.25">
      <c r="B6" s="351" t="s">
        <v>160</v>
      </c>
      <c r="C6" s="351"/>
      <c r="D6" s="351"/>
      <c r="E6" s="351"/>
    </row>
    <row r="7" spans="2:5" ht="14.25">
      <c r="B7" s="161"/>
      <c r="C7" s="161"/>
      <c r="D7" s="161"/>
      <c r="E7" s="161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62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157183.93</v>
      </c>
      <c r="E11" s="229">
        <f>SUM(E12:E14)</f>
        <v>182868.08</v>
      </c>
    </row>
    <row r="12" spans="2:5">
      <c r="B12" s="105" t="s">
        <v>4</v>
      </c>
      <c r="C12" s="6" t="s">
        <v>5</v>
      </c>
      <c r="D12" s="245">
        <v>157183.93</v>
      </c>
      <c r="E12" s="251">
        <v>182868.08</v>
      </c>
    </row>
    <row r="13" spans="2:5">
      <c r="B13" s="105" t="s">
        <v>6</v>
      </c>
      <c r="C13" s="68" t="s">
        <v>7</v>
      </c>
      <c r="D13" s="241"/>
      <c r="E13" s="252"/>
    </row>
    <row r="14" spans="2:5">
      <c r="B14" s="105" t="s">
        <v>8</v>
      </c>
      <c r="C14" s="68" t="s">
        <v>10</v>
      </c>
      <c r="D14" s="241"/>
      <c r="E14" s="252"/>
    </row>
    <row r="15" spans="2:5">
      <c r="B15" s="105" t="s">
        <v>106</v>
      </c>
      <c r="C15" s="68" t="s">
        <v>11</v>
      </c>
      <c r="D15" s="241"/>
      <c r="E15" s="252"/>
    </row>
    <row r="16" spans="2:5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157183.93</v>
      </c>
      <c r="E21" s="147">
        <f>E11-E17</f>
        <v>182868.08</v>
      </c>
      <c r="F21" s="76"/>
    </row>
    <row r="22" spans="2:6">
      <c r="B22" s="3"/>
      <c r="C22" s="7"/>
      <c r="D22" s="217"/>
      <c r="E22" s="217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162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116465.2</v>
      </c>
      <c r="E26" s="219">
        <f>D21</f>
        <v>157183.93</v>
      </c>
    </row>
    <row r="27" spans="2:6">
      <c r="B27" s="9" t="s">
        <v>17</v>
      </c>
      <c r="C27" s="10" t="s">
        <v>111</v>
      </c>
      <c r="D27" s="198">
        <v>16764.039999999997</v>
      </c>
      <c r="E27" s="292">
        <f>E28-E32</f>
        <v>31147.909999999996</v>
      </c>
      <c r="F27" s="71"/>
    </row>
    <row r="28" spans="2:6">
      <c r="B28" s="9" t="s">
        <v>18</v>
      </c>
      <c r="C28" s="10" t="s">
        <v>19</v>
      </c>
      <c r="D28" s="198">
        <v>25123.309999999998</v>
      </c>
      <c r="E28" s="293">
        <v>53180.149999999994</v>
      </c>
      <c r="F28" s="71"/>
    </row>
    <row r="29" spans="2:6">
      <c r="B29" s="103" t="s">
        <v>4</v>
      </c>
      <c r="C29" s="6" t="s">
        <v>20</v>
      </c>
      <c r="D29" s="199">
        <v>20115.64</v>
      </c>
      <c r="E29" s="295">
        <v>40928.269999999997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5007.67</v>
      </c>
      <c r="E31" s="295">
        <v>12251.88</v>
      </c>
      <c r="F31" s="71"/>
    </row>
    <row r="32" spans="2:6">
      <c r="B32" s="91" t="s">
        <v>23</v>
      </c>
      <c r="C32" s="11" t="s">
        <v>24</v>
      </c>
      <c r="D32" s="198">
        <v>8359.27</v>
      </c>
      <c r="E32" s="293">
        <f>SUM(E33:E39)</f>
        <v>22032.239999999998</v>
      </c>
      <c r="F32" s="71"/>
    </row>
    <row r="33" spans="2:6">
      <c r="B33" s="103" t="s">
        <v>4</v>
      </c>
      <c r="C33" s="6" t="s">
        <v>25</v>
      </c>
      <c r="D33" s="199">
        <v>3164.94</v>
      </c>
      <c r="E33" s="295">
        <f>6498.91+1201.41</f>
        <v>7700.32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2281.92</v>
      </c>
      <c r="E35" s="295">
        <v>2589.69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436.87</v>
      </c>
      <c r="E37" s="295">
        <v>585.16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2475.54</v>
      </c>
      <c r="E39" s="297">
        <v>11157.07</v>
      </c>
      <c r="F39" s="71"/>
    </row>
    <row r="40" spans="2:6" ht="13.5" thickBot="1">
      <c r="B40" s="96" t="s">
        <v>35</v>
      </c>
      <c r="C40" s="97" t="s">
        <v>36</v>
      </c>
      <c r="D40" s="201">
        <v>7642.65</v>
      </c>
      <c r="E40" s="306">
        <v>-5463.76</v>
      </c>
    </row>
    <row r="41" spans="2:6" ht="13.5" thickBot="1">
      <c r="B41" s="98" t="s">
        <v>37</v>
      </c>
      <c r="C41" s="99" t="s">
        <v>38</v>
      </c>
      <c r="D41" s="202">
        <v>140871.88999999998</v>
      </c>
      <c r="E41" s="147">
        <f>E26+E27+E40</f>
        <v>182868.08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62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1128.1015</v>
      </c>
      <c r="E47" s="73">
        <v>1394.8346999999999</v>
      </c>
    </row>
    <row r="48" spans="2:6">
      <c r="B48" s="122" t="s">
        <v>6</v>
      </c>
      <c r="C48" s="22" t="s">
        <v>41</v>
      </c>
      <c r="D48" s="203">
        <v>1284.7414000000001</v>
      </c>
      <c r="E48" s="330">
        <v>1662.8905999999999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103.24</v>
      </c>
      <c r="E50" s="74">
        <v>112.69</v>
      </c>
    </row>
    <row r="51" spans="2:5">
      <c r="B51" s="101" t="s">
        <v>6</v>
      </c>
      <c r="C51" s="15" t="s">
        <v>114</v>
      </c>
      <c r="D51" s="203">
        <v>103.17</v>
      </c>
      <c r="E51" s="74">
        <v>105.16</v>
      </c>
    </row>
    <row r="52" spans="2:5">
      <c r="B52" s="101" t="s">
        <v>8</v>
      </c>
      <c r="C52" s="15" t="s">
        <v>115</v>
      </c>
      <c r="D52" s="203">
        <v>110</v>
      </c>
      <c r="E52" s="74">
        <v>116.52</v>
      </c>
    </row>
    <row r="53" spans="2:5" ht="13.5" thickBot="1">
      <c r="B53" s="102" t="s">
        <v>9</v>
      </c>
      <c r="C53" s="17" t="s">
        <v>41</v>
      </c>
      <c r="D53" s="205">
        <v>109.65</v>
      </c>
      <c r="E53" s="335">
        <v>109.97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182868.08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182868.08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182868.08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182868.08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161</v>
      </c>
      <c r="C6" s="351"/>
      <c r="D6" s="351"/>
      <c r="E6" s="351"/>
    </row>
    <row r="7" spans="2:7" ht="14.25">
      <c r="B7" s="161"/>
      <c r="C7" s="161"/>
      <c r="D7" s="161"/>
      <c r="E7" s="161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62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467420.08</v>
      </c>
      <c r="E11" s="229">
        <f>SUM(E12:E14)</f>
        <v>455948.14</v>
      </c>
    </row>
    <row r="12" spans="2:7">
      <c r="B12" s="105" t="s">
        <v>4</v>
      </c>
      <c r="C12" s="6" t="s">
        <v>5</v>
      </c>
      <c r="D12" s="245">
        <v>467420.08</v>
      </c>
      <c r="E12" s="251">
        <v>455948.14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467420.08</v>
      </c>
      <c r="E21" s="147">
        <f>E11-E17</f>
        <v>455948.14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162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321448.88</v>
      </c>
      <c r="E26" s="219">
        <f>D21</f>
        <v>467420.08</v>
      </c>
    </row>
    <row r="27" spans="2:6">
      <c r="B27" s="9" t="s">
        <v>17</v>
      </c>
      <c r="C27" s="10" t="s">
        <v>111</v>
      </c>
      <c r="D27" s="198">
        <v>36875.760000000009</v>
      </c>
      <c r="E27" s="292">
        <f>E28-E32</f>
        <v>21105.749999999996</v>
      </c>
      <c r="F27" s="71"/>
    </row>
    <row r="28" spans="2:6">
      <c r="B28" s="9" t="s">
        <v>18</v>
      </c>
      <c r="C28" s="10" t="s">
        <v>19</v>
      </c>
      <c r="D28" s="198">
        <v>76326.700000000012</v>
      </c>
      <c r="E28" s="293">
        <v>48092.17</v>
      </c>
      <c r="F28" s="71"/>
    </row>
    <row r="29" spans="2:6">
      <c r="B29" s="103" t="s">
        <v>4</v>
      </c>
      <c r="C29" s="6" t="s">
        <v>20</v>
      </c>
      <c r="D29" s="199">
        <v>43262.400000000001</v>
      </c>
      <c r="E29" s="295">
        <v>46103.360000000001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33064.300000000003</v>
      </c>
      <c r="E31" s="295">
        <v>1988.81</v>
      </c>
      <c r="F31" s="71"/>
    </row>
    <row r="32" spans="2:6">
      <c r="B32" s="91" t="s">
        <v>23</v>
      </c>
      <c r="C32" s="11" t="s">
        <v>24</v>
      </c>
      <c r="D32" s="198">
        <v>39450.94</v>
      </c>
      <c r="E32" s="293">
        <f>SUM(E33:E39)</f>
        <v>26986.420000000002</v>
      </c>
      <c r="F32" s="71"/>
    </row>
    <row r="33" spans="2:6">
      <c r="B33" s="103" t="s">
        <v>4</v>
      </c>
      <c r="C33" s="6" t="s">
        <v>25</v>
      </c>
      <c r="D33" s="199">
        <v>623.96999999999991</v>
      </c>
      <c r="E33" s="295">
        <f>11135.78-2289.45</f>
        <v>8846.3300000000017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3979.18</v>
      </c>
      <c r="E35" s="295">
        <v>4279.6400000000003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1284.25</v>
      </c>
      <c r="E37" s="295">
        <v>1643.83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33563.54</v>
      </c>
      <c r="E39" s="297">
        <v>12216.62</v>
      </c>
      <c r="F39" s="71"/>
    </row>
    <row r="40" spans="2:6" ht="13.5" thickBot="1">
      <c r="B40" s="96" t="s">
        <v>35</v>
      </c>
      <c r="C40" s="97" t="s">
        <v>36</v>
      </c>
      <c r="D40" s="201">
        <v>28245.119999999999</v>
      </c>
      <c r="E40" s="306">
        <v>-32577.69</v>
      </c>
    </row>
    <row r="41" spans="2:6" ht="13.5" thickBot="1">
      <c r="B41" s="98" t="s">
        <v>37</v>
      </c>
      <c r="C41" s="99" t="s">
        <v>38</v>
      </c>
      <c r="D41" s="202">
        <v>386569.76</v>
      </c>
      <c r="E41" s="147">
        <f>E26+E27+E40</f>
        <v>455948.14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62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3067.2602999999999</v>
      </c>
      <c r="E47" s="73">
        <v>3865.5316000000003</v>
      </c>
    </row>
    <row r="48" spans="2:6">
      <c r="B48" s="122" t="s">
        <v>6</v>
      </c>
      <c r="C48" s="22" t="s">
        <v>41</v>
      </c>
      <c r="D48" s="203">
        <v>3405.6009162188352</v>
      </c>
      <c r="E48" s="330">
        <v>4044.2447000000002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104.8</v>
      </c>
      <c r="E50" s="237">
        <v>120.92</v>
      </c>
    </row>
    <row r="51" spans="2:5">
      <c r="B51" s="101" t="s">
        <v>6</v>
      </c>
      <c r="C51" s="15" t="s">
        <v>114</v>
      </c>
      <c r="D51" s="203">
        <v>104.8</v>
      </c>
      <c r="E51" s="338">
        <v>104.91</v>
      </c>
    </row>
    <row r="52" spans="2:5">
      <c r="B52" s="101" t="s">
        <v>8</v>
      </c>
      <c r="C52" s="15" t="s">
        <v>115</v>
      </c>
      <c r="D52" s="203">
        <v>114.93</v>
      </c>
      <c r="E52" s="338">
        <v>127.19</v>
      </c>
    </row>
    <row r="53" spans="2:5" ht="13.5" thickBot="1">
      <c r="B53" s="102" t="s">
        <v>9</v>
      </c>
      <c r="C53" s="17" t="s">
        <v>41</v>
      </c>
      <c r="D53" s="205">
        <v>113.51</v>
      </c>
      <c r="E53" s="335">
        <v>112.74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455948.14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455948.14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455948.14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455948.14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162</v>
      </c>
      <c r="C6" s="351"/>
      <c r="D6" s="351"/>
      <c r="E6" s="351"/>
    </row>
    <row r="7" spans="2:7" ht="14.25">
      <c r="B7" s="149"/>
      <c r="C7" s="149"/>
      <c r="D7" s="149"/>
      <c r="E7" s="149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50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19504.82</v>
      </c>
      <c r="E11" s="229">
        <f>SUM(E12:E14)</f>
        <v>18147.21</v>
      </c>
    </row>
    <row r="12" spans="2:7">
      <c r="B12" s="105" t="s">
        <v>4</v>
      </c>
      <c r="C12" s="6" t="s">
        <v>5</v>
      </c>
      <c r="D12" s="245">
        <v>19504.82</v>
      </c>
      <c r="E12" s="251">
        <v>18147.21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19504.82</v>
      </c>
      <c r="E21" s="147">
        <f>E11-E17</f>
        <v>18147.21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150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18463.740000000002</v>
      </c>
      <c r="E26" s="219">
        <f>D21</f>
        <v>19504.82</v>
      </c>
    </row>
    <row r="27" spans="2:6">
      <c r="B27" s="9" t="s">
        <v>17</v>
      </c>
      <c r="C27" s="10" t="s">
        <v>111</v>
      </c>
      <c r="D27" s="198">
        <v>-223.8</v>
      </c>
      <c r="E27" s="292">
        <v>-243.3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223.8</v>
      </c>
      <c r="E32" s="293">
        <v>243.3</v>
      </c>
      <c r="F32" s="71"/>
    </row>
    <row r="33" spans="2:6">
      <c r="B33" s="103" t="s">
        <v>4</v>
      </c>
      <c r="C33" s="6" t="s">
        <v>25</v>
      </c>
      <c r="D33" s="199"/>
      <c r="E33" s="295"/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61.68</v>
      </c>
      <c r="E35" s="295">
        <v>71.09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162.12</v>
      </c>
      <c r="E37" s="295">
        <v>172.21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1169.69</v>
      </c>
      <c r="E40" s="306">
        <v>-1114.31</v>
      </c>
    </row>
    <row r="41" spans="2:6" ht="13.5" thickBot="1">
      <c r="B41" s="98" t="s">
        <v>37</v>
      </c>
      <c r="C41" s="99" t="s">
        <v>38</v>
      </c>
      <c r="D41" s="202">
        <v>19409.63</v>
      </c>
      <c r="E41" s="147">
        <f>E26+E27+E40</f>
        <v>18147.21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5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172.73589999999999</v>
      </c>
      <c r="E47" s="73">
        <v>168.39179999999999</v>
      </c>
    </row>
    <row r="48" spans="2:6">
      <c r="B48" s="122" t="s">
        <v>6</v>
      </c>
      <c r="C48" s="22" t="s">
        <v>41</v>
      </c>
      <c r="D48" s="203">
        <v>170.7242</v>
      </c>
      <c r="E48" s="330">
        <v>166.04640000000001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106.89</v>
      </c>
      <c r="E50" s="74">
        <v>115.83</v>
      </c>
    </row>
    <row r="51" spans="2:5">
      <c r="B51" s="101" t="s">
        <v>6</v>
      </c>
      <c r="C51" s="15" t="s">
        <v>114</v>
      </c>
      <c r="D51" s="203">
        <v>106.89</v>
      </c>
      <c r="E51" s="74">
        <v>99.08</v>
      </c>
    </row>
    <row r="52" spans="2:5">
      <c r="B52" s="101" t="s">
        <v>8</v>
      </c>
      <c r="C52" s="15" t="s">
        <v>115</v>
      </c>
      <c r="D52" s="203">
        <v>114.04</v>
      </c>
      <c r="E52" s="74">
        <v>118.08</v>
      </c>
    </row>
    <row r="53" spans="2:5" ht="13.5" thickBot="1">
      <c r="B53" s="102" t="s">
        <v>9</v>
      </c>
      <c r="C53" s="17" t="s">
        <v>41</v>
      </c>
      <c r="D53" s="205">
        <v>113.69</v>
      </c>
      <c r="E53" s="335">
        <v>109.29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18147.21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18147.21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18147.21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18147.21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6"/>
      <c r="C4" s="146"/>
      <c r="D4" s="146"/>
      <c r="E4" s="146"/>
    </row>
    <row r="5" spans="2:5" ht="14.25">
      <c r="B5" s="350" t="s">
        <v>1</v>
      </c>
      <c r="C5" s="350"/>
      <c r="D5" s="350"/>
      <c r="E5" s="350"/>
    </row>
    <row r="6" spans="2:5" ht="14.25">
      <c r="B6" s="351" t="s">
        <v>163</v>
      </c>
      <c r="C6" s="351"/>
      <c r="D6" s="351"/>
      <c r="E6" s="351"/>
    </row>
    <row r="7" spans="2:5" ht="14.25">
      <c r="B7" s="257"/>
      <c r="C7" s="257"/>
      <c r="D7" s="257"/>
      <c r="E7" s="257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258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90" t="s">
        <v>109</v>
      </c>
      <c r="D11" s="228"/>
      <c r="E11" s="229"/>
    </row>
    <row r="12" spans="2:5">
      <c r="B12" s="105" t="s">
        <v>4</v>
      </c>
      <c r="C12" s="191" t="s">
        <v>5</v>
      </c>
      <c r="D12" s="245"/>
      <c r="E12" s="251"/>
    </row>
    <row r="13" spans="2:5">
      <c r="B13" s="105" t="s">
        <v>6</v>
      </c>
      <c r="C13" s="191" t="s">
        <v>7</v>
      </c>
      <c r="D13" s="241"/>
      <c r="E13" s="252"/>
    </row>
    <row r="14" spans="2:5">
      <c r="B14" s="105" t="s">
        <v>8</v>
      </c>
      <c r="C14" s="191" t="s">
        <v>10</v>
      </c>
      <c r="D14" s="241"/>
      <c r="E14" s="252"/>
    </row>
    <row r="15" spans="2:5">
      <c r="B15" s="105" t="s">
        <v>106</v>
      </c>
      <c r="C15" s="191" t="s">
        <v>11</v>
      </c>
      <c r="D15" s="241"/>
      <c r="E15" s="252"/>
    </row>
    <row r="16" spans="2:5">
      <c r="B16" s="106" t="s">
        <v>107</v>
      </c>
      <c r="C16" s="192" t="s">
        <v>12</v>
      </c>
      <c r="D16" s="243"/>
      <c r="E16" s="253"/>
    </row>
    <row r="17" spans="2:6">
      <c r="B17" s="9" t="s">
        <v>13</v>
      </c>
      <c r="C17" s="193" t="s">
        <v>65</v>
      </c>
      <c r="D17" s="244"/>
      <c r="E17" s="254"/>
    </row>
    <row r="18" spans="2:6">
      <c r="B18" s="105" t="s">
        <v>4</v>
      </c>
      <c r="C18" s="191" t="s">
        <v>11</v>
      </c>
      <c r="D18" s="243"/>
      <c r="E18" s="253"/>
    </row>
    <row r="19" spans="2:6" ht="15" customHeight="1">
      <c r="B19" s="105" t="s">
        <v>6</v>
      </c>
      <c r="C19" s="191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/>
      <c r="E21" s="147"/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258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3734.46</v>
      </c>
      <c r="E26" s="219"/>
    </row>
    <row r="27" spans="2:6">
      <c r="B27" s="9" t="s">
        <v>17</v>
      </c>
      <c r="C27" s="10" t="s">
        <v>111</v>
      </c>
      <c r="D27" s="198">
        <v>0</v>
      </c>
      <c r="E27" s="292"/>
      <c r="F27" s="71"/>
    </row>
    <row r="28" spans="2:6">
      <c r="B28" s="9" t="s">
        <v>18</v>
      </c>
      <c r="C28" s="10" t="s">
        <v>19</v>
      </c>
      <c r="D28" s="198">
        <v>0</v>
      </c>
      <c r="E28" s="293"/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0</v>
      </c>
      <c r="E32" s="293"/>
      <c r="F32" s="71"/>
    </row>
    <row r="33" spans="2:6">
      <c r="B33" s="103" t="s">
        <v>4</v>
      </c>
      <c r="C33" s="6" t="s">
        <v>25</v>
      </c>
      <c r="D33" s="199"/>
      <c r="E33" s="295"/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/>
      <c r="E35" s="295"/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166.84</v>
      </c>
      <c r="E40" s="306"/>
    </row>
    <row r="41" spans="2:6" ht="13.5" thickBot="1">
      <c r="B41" s="98" t="s">
        <v>37</v>
      </c>
      <c r="C41" s="99" t="s">
        <v>38</v>
      </c>
      <c r="D41" s="202">
        <v>3901.3</v>
      </c>
      <c r="E41" s="269"/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258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/>
      <c r="E47" s="73"/>
    </row>
    <row r="48" spans="2:6">
      <c r="B48" s="122" t="s">
        <v>6</v>
      </c>
      <c r="C48" s="22" t="s">
        <v>41</v>
      </c>
      <c r="D48" s="203"/>
      <c r="E48" s="330"/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/>
      <c r="E50" s="74"/>
    </row>
    <row r="51" spans="2:5">
      <c r="B51" s="101" t="s">
        <v>6</v>
      </c>
      <c r="C51" s="15" t="s">
        <v>114</v>
      </c>
      <c r="D51" s="203"/>
      <c r="E51" s="262"/>
    </row>
    <row r="52" spans="2:5">
      <c r="B52" s="101" t="s">
        <v>8</v>
      </c>
      <c r="C52" s="15" t="s">
        <v>115</v>
      </c>
      <c r="D52" s="203"/>
      <c r="E52" s="262"/>
    </row>
    <row r="53" spans="2:5" ht="13.5" thickBot="1">
      <c r="B53" s="102" t="s">
        <v>9</v>
      </c>
      <c r="C53" s="17" t="s">
        <v>41</v>
      </c>
      <c r="D53" s="205"/>
      <c r="E53" s="335"/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0</v>
      </c>
      <c r="E58" s="31">
        <v>0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0</v>
      </c>
      <c r="E64" s="80">
        <v>0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0</v>
      </c>
      <c r="E74" s="66">
        <f>E58+E72-E73</f>
        <v>0</v>
      </c>
    </row>
    <row r="75" spans="2:5">
      <c r="B75" s="101" t="s">
        <v>4</v>
      </c>
      <c r="C75" s="15" t="s">
        <v>67</v>
      </c>
      <c r="D75" s="77">
        <f>D74</f>
        <v>0</v>
      </c>
      <c r="E75" s="78">
        <f>E74</f>
        <v>0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6"/>
      <c r="C4" s="86"/>
      <c r="D4" s="86"/>
      <c r="E4" s="8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164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/>
      <c r="E11" s="229"/>
    </row>
    <row r="12" spans="2:7">
      <c r="B12" s="105" t="s">
        <v>4</v>
      </c>
      <c r="C12" s="6" t="s">
        <v>5</v>
      </c>
      <c r="D12" s="245"/>
      <c r="E12" s="251"/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/>
      <c r="E21" s="147"/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8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13171.68</v>
      </c>
      <c r="E26" s="219"/>
    </row>
    <row r="27" spans="2:6">
      <c r="B27" s="9" t="s">
        <v>17</v>
      </c>
      <c r="C27" s="10" t="s">
        <v>111</v>
      </c>
      <c r="D27" s="198">
        <v>-13024.19</v>
      </c>
      <c r="E27" s="292"/>
      <c r="F27" s="71"/>
    </row>
    <row r="28" spans="2:6">
      <c r="B28" s="9" t="s">
        <v>18</v>
      </c>
      <c r="C28" s="10" t="s">
        <v>19</v>
      </c>
      <c r="D28" s="198">
        <v>0</v>
      </c>
      <c r="E28" s="293"/>
      <c r="F28" s="71"/>
    </row>
    <row r="29" spans="2:6">
      <c r="B29" s="103" t="s">
        <v>4</v>
      </c>
      <c r="C29" s="6" t="s">
        <v>20</v>
      </c>
      <c r="D29" s="199"/>
      <c r="E29" s="295"/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13024.19</v>
      </c>
      <c r="E32" s="293"/>
      <c r="F32" s="71"/>
    </row>
    <row r="33" spans="2:6">
      <c r="B33" s="103" t="s">
        <v>4</v>
      </c>
      <c r="C33" s="6" t="s">
        <v>25</v>
      </c>
      <c r="D33" s="199">
        <v>12885.67</v>
      </c>
      <c r="E33" s="295"/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11.59</v>
      </c>
      <c r="E35" s="295"/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126.93</v>
      </c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-147.49</v>
      </c>
      <c r="E40" s="306"/>
    </row>
    <row r="41" spans="2:6" ht="13.5" thickBot="1">
      <c r="B41" s="98" t="s">
        <v>37</v>
      </c>
      <c r="C41" s="99" t="s">
        <v>38</v>
      </c>
      <c r="D41" s="202" t="s">
        <v>123</v>
      </c>
      <c r="E41" s="269"/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8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108.992</v>
      </c>
      <c r="E47" s="148"/>
    </row>
    <row r="48" spans="2:6">
      <c r="B48" s="122" t="s">
        <v>6</v>
      </c>
      <c r="C48" s="22" t="s">
        <v>41</v>
      </c>
      <c r="D48" s="203"/>
      <c r="E48" s="326"/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120.85</v>
      </c>
      <c r="E50" s="148"/>
    </row>
    <row r="51" spans="2:5">
      <c r="B51" s="101" t="s">
        <v>6</v>
      </c>
      <c r="C51" s="15" t="s">
        <v>114</v>
      </c>
      <c r="D51" s="203">
        <v>118.11</v>
      </c>
      <c r="E51" s="262"/>
    </row>
    <row r="52" spans="2:5">
      <c r="B52" s="101" t="s">
        <v>8</v>
      </c>
      <c r="C52" s="15" t="s">
        <v>115</v>
      </c>
      <c r="D52" s="203">
        <v>120.84</v>
      </c>
      <c r="E52" s="262"/>
    </row>
    <row r="53" spans="2:5" ht="12.75" customHeight="1" thickBot="1">
      <c r="B53" s="102" t="s">
        <v>9</v>
      </c>
      <c r="C53" s="17" t="s">
        <v>41</v>
      </c>
      <c r="D53" s="205"/>
      <c r="E53" s="335"/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0</v>
      </c>
      <c r="E58" s="31">
        <v>0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0</v>
      </c>
      <c r="E64" s="80">
        <v>0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0</v>
      </c>
      <c r="E74" s="66">
        <f>E58+E72-E73</f>
        <v>0</v>
      </c>
    </row>
    <row r="75" spans="2:5">
      <c r="B75" s="101" t="s">
        <v>4</v>
      </c>
      <c r="C75" s="15" t="s">
        <v>67</v>
      </c>
      <c r="D75" s="77">
        <f>D74</f>
        <v>0</v>
      </c>
      <c r="E75" s="78">
        <f>E74</f>
        <v>0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86"/>
      <c r="C4" s="86"/>
      <c r="D4" s="86"/>
      <c r="E4" s="86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165</v>
      </c>
      <c r="C6" s="351"/>
      <c r="D6" s="351"/>
      <c r="E6" s="351"/>
    </row>
    <row r="7" spans="2:5" ht="14.25">
      <c r="B7" s="88"/>
      <c r="C7" s="88"/>
      <c r="D7" s="88"/>
      <c r="E7" s="8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87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90036.59</v>
      </c>
      <c r="E11" s="229">
        <f>SUM(E12:E14)</f>
        <v>37383.440000000002</v>
      </c>
    </row>
    <row r="12" spans="2:5">
      <c r="B12" s="170" t="s">
        <v>4</v>
      </c>
      <c r="C12" s="171" t="s">
        <v>5</v>
      </c>
      <c r="D12" s="245">
        <v>90036.59</v>
      </c>
      <c r="E12" s="251">
        <v>37383.440000000002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90036.59</v>
      </c>
      <c r="E21" s="147">
        <f>E11-E17</f>
        <v>37383.440000000002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49934.87</v>
      </c>
      <c r="E26" s="219">
        <f>D21</f>
        <v>90036.59</v>
      </c>
    </row>
    <row r="27" spans="2:6">
      <c r="B27" s="9" t="s">
        <v>17</v>
      </c>
      <c r="C27" s="10" t="s">
        <v>111</v>
      </c>
      <c r="D27" s="198">
        <v>-12869.31</v>
      </c>
      <c r="E27" s="292">
        <v>-51898.44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12869.31</v>
      </c>
      <c r="E32" s="293">
        <v>51898.44</v>
      </c>
      <c r="F32" s="71"/>
    </row>
    <row r="33" spans="2:6">
      <c r="B33" s="178" t="s">
        <v>4</v>
      </c>
      <c r="C33" s="171" t="s">
        <v>25</v>
      </c>
      <c r="D33" s="199">
        <v>12349.03</v>
      </c>
      <c r="E33" s="295">
        <v>51297.48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23.23</v>
      </c>
      <c r="E35" s="295">
        <v>19.71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497.05</v>
      </c>
      <c r="E37" s="295">
        <v>581.25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1259.26</v>
      </c>
      <c r="E40" s="306">
        <v>-754.71</v>
      </c>
    </row>
    <row r="41" spans="2:6" ht="13.5" thickBot="1">
      <c r="B41" s="98" t="s">
        <v>37</v>
      </c>
      <c r="C41" s="99" t="s">
        <v>38</v>
      </c>
      <c r="D41" s="202">
        <v>38324.820000000007</v>
      </c>
      <c r="E41" s="147">
        <f>E26+E27+E40</f>
        <v>37383.439999999995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379.58850000000001</v>
      </c>
      <c r="E47" s="148">
        <v>653.95550000000003</v>
      </c>
    </row>
    <row r="48" spans="2:6">
      <c r="B48" s="183" t="s">
        <v>6</v>
      </c>
      <c r="C48" s="184" t="s">
        <v>41</v>
      </c>
      <c r="D48" s="203">
        <v>283.13249999999999</v>
      </c>
      <c r="E48" s="327">
        <v>277.55169999999998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81" t="s">
        <v>4</v>
      </c>
      <c r="C50" s="182" t="s">
        <v>40</v>
      </c>
      <c r="D50" s="203">
        <v>131.55000000000001</v>
      </c>
      <c r="E50" s="220">
        <v>137.68</v>
      </c>
    </row>
    <row r="51" spans="2:5">
      <c r="B51" s="181" t="s">
        <v>6</v>
      </c>
      <c r="C51" s="182" t="s">
        <v>114</v>
      </c>
      <c r="D51" s="203">
        <v>131.44</v>
      </c>
      <c r="E51" s="221">
        <v>129.96</v>
      </c>
    </row>
    <row r="52" spans="2:5">
      <c r="B52" s="181" t="s">
        <v>8</v>
      </c>
      <c r="C52" s="182" t="s">
        <v>115</v>
      </c>
      <c r="D52" s="203">
        <v>135.36000000000001</v>
      </c>
      <c r="E52" s="221">
        <v>138.57</v>
      </c>
    </row>
    <row r="53" spans="2:5" ht="13.5" customHeight="1" thickBot="1">
      <c r="B53" s="185" t="s">
        <v>9</v>
      </c>
      <c r="C53" s="186" t="s">
        <v>41</v>
      </c>
      <c r="D53" s="205">
        <v>135.36000000000001</v>
      </c>
      <c r="E53" s="333">
        <v>134.69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37383.440000000002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37383.440000000002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37383.440000000002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37383.440000000002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33"/>
      <c r="C4" s="133"/>
      <c r="D4" s="133"/>
      <c r="E4" s="133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166</v>
      </c>
      <c r="C6" s="351"/>
      <c r="D6" s="351"/>
      <c r="E6" s="351"/>
    </row>
    <row r="7" spans="2:5" ht="14.25">
      <c r="B7" s="132"/>
      <c r="C7" s="132"/>
      <c r="D7" s="132"/>
      <c r="E7" s="132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4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480395.92</v>
      </c>
      <c r="E11" s="229">
        <f>SUM(E12:E14)</f>
        <v>368231.21</v>
      </c>
    </row>
    <row r="12" spans="2:5">
      <c r="B12" s="170" t="s">
        <v>4</v>
      </c>
      <c r="C12" s="171" t="s">
        <v>5</v>
      </c>
      <c r="D12" s="245">
        <v>480395.92</v>
      </c>
      <c r="E12" s="251">
        <v>368231.21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480395.92</v>
      </c>
      <c r="E21" s="147">
        <f>E11-E17</f>
        <v>368231.21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464283.27</v>
      </c>
      <c r="E26" s="219">
        <f>D21</f>
        <v>480395.92</v>
      </c>
    </row>
    <row r="27" spans="2:6">
      <c r="B27" s="9" t="s">
        <v>17</v>
      </c>
      <c r="C27" s="10" t="s">
        <v>111</v>
      </c>
      <c r="D27" s="198">
        <v>-70413.97</v>
      </c>
      <c r="E27" s="292">
        <f>E28-E32</f>
        <v>-5434.8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70413.97</v>
      </c>
      <c r="E32" s="293">
        <f>SUM(E33:E39)</f>
        <v>5434.8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2941.51</v>
      </c>
      <c r="E35" s="295">
        <v>2364.5300000000002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3708.45</v>
      </c>
      <c r="E37" s="295">
        <v>3070.27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63764.01</v>
      </c>
      <c r="E39" s="297"/>
      <c r="F39" s="71"/>
    </row>
    <row r="40" spans="2:6" ht="13.5" thickBot="1">
      <c r="B40" s="96" t="s">
        <v>35</v>
      </c>
      <c r="C40" s="97" t="s">
        <v>36</v>
      </c>
      <c r="D40" s="201">
        <v>54587</v>
      </c>
      <c r="E40" s="306">
        <v>-106729.91</v>
      </c>
    </row>
    <row r="41" spans="2:6" ht="13.5" thickBot="1">
      <c r="B41" s="98" t="s">
        <v>37</v>
      </c>
      <c r="C41" s="99" t="s">
        <v>38</v>
      </c>
      <c r="D41" s="202">
        <v>448456.30000000005</v>
      </c>
      <c r="E41" s="147">
        <f>E26+E27+E40</f>
        <v>368231.20999999996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42949.423999999999</v>
      </c>
      <c r="E47" s="148">
        <v>36338.572</v>
      </c>
    </row>
    <row r="48" spans="2:6">
      <c r="B48" s="183" t="s">
        <v>6</v>
      </c>
      <c r="C48" s="184" t="s">
        <v>41</v>
      </c>
      <c r="D48" s="203">
        <v>36879.629999999997</v>
      </c>
      <c r="E48" s="327">
        <v>35820.156999999999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81" t="s">
        <v>4</v>
      </c>
      <c r="C50" s="182" t="s">
        <v>40</v>
      </c>
      <c r="D50" s="203">
        <v>10.81</v>
      </c>
      <c r="E50" s="220">
        <v>13.22</v>
      </c>
    </row>
    <row r="51" spans="2:5">
      <c r="B51" s="181" t="s">
        <v>6</v>
      </c>
      <c r="C51" s="182" t="s">
        <v>114</v>
      </c>
      <c r="D51" s="203">
        <v>10.81</v>
      </c>
      <c r="E51" s="221">
        <v>8.1300000000000008</v>
      </c>
    </row>
    <row r="52" spans="2:5">
      <c r="B52" s="181" t="s">
        <v>8</v>
      </c>
      <c r="C52" s="182" t="s">
        <v>115</v>
      </c>
      <c r="D52" s="203">
        <v>12.540000000000001</v>
      </c>
      <c r="E52" s="221">
        <v>13.56</v>
      </c>
    </row>
    <row r="53" spans="2:5" ht="13.5" customHeight="1" thickBot="1">
      <c r="B53" s="185" t="s">
        <v>9</v>
      </c>
      <c r="C53" s="186" t="s">
        <v>41</v>
      </c>
      <c r="D53" s="205">
        <v>12.16</v>
      </c>
      <c r="E53" s="333">
        <v>10.28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368231.21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368231.21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368231.21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368231.21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87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108062521.65000001</v>
      </c>
      <c r="E11" s="229">
        <f>SUM(E12:E14)</f>
        <v>112432862.39</v>
      </c>
    </row>
    <row r="12" spans="2:7">
      <c r="B12" s="105" t="s">
        <v>4</v>
      </c>
      <c r="C12" s="6" t="s">
        <v>5</v>
      </c>
      <c r="D12" s="245">
        <v>107682251.61</v>
      </c>
      <c r="E12" s="251">
        <f>114265275.75+138931.71-2218053.63</f>
        <v>112186153.83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>
        <v>380270.04</v>
      </c>
      <c r="E14" s="252">
        <f>E15</f>
        <v>246708.56</v>
      </c>
    </row>
    <row r="15" spans="2:7">
      <c r="B15" s="105" t="s">
        <v>106</v>
      </c>
      <c r="C15" s="68" t="s">
        <v>11</v>
      </c>
      <c r="D15" s="241">
        <v>380270.04</v>
      </c>
      <c r="E15" s="252">
        <v>246708.56</v>
      </c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152156.49</v>
      </c>
      <c r="E17" s="254">
        <f>E18</f>
        <v>149801.64000000001</v>
      </c>
    </row>
    <row r="18" spans="2:6">
      <c r="B18" s="105" t="s">
        <v>4</v>
      </c>
      <c r="C18" s="6" t="s">
        <v>11</v>
      </c>
      <c r="D18" s="243">
        <v>152156.49</v>
      </c>
      <c r="E18" s="253">
        <v>149801.64000000001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107910365.16000001</v>
      </c>
      <c r="E21" s="147">
        <f>E11-E17</f>
        <v>112283060.75</v>
      </c>
      <c r="F21" s="76"/>
    </row>
    <row r="22" spans="2:6">
      <c r="B22" s="3"/>
      <c r="C22" s="7"/>
      <c r="D22" s="8"/>
      <c r="E22" s="8"/>
    </row>
    <row r="23" spans="2:6" ht="15.75">
      <c r="B23" s="353"/>
      <c r="C23" s="361"/>
      <c r="D23" s="361"/>
      <c r="E23" s="361"/>
    </row>
    <row r="24" spans="2:6" ht="16.5" customHeight="1" thickBot="1">
      <c r="B24" s="352" t="s">
        <v>105</v>
      </c>
      <c r="C24" s="362"/>
      <c r="D24" s="362"/>
      <c r="E24" s="362"/>
    </row>
    <row r="25" spans="2:6" ht="13.5" thickBot="1">
      <c r="B25" s="85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106012834.63</v>
      </c>
      <c r="E26" s="219">
        <f>D21</f>
        <v>107910365.16000001</v>
      </c>
    </row>
    <row r="27" spans="2:6">
      <c r="B27" s="9" t="s">
        <v>17</v>
      </c>
      <c r="C27" s="10" t="s">
        <v>111</v>
      </c>
      <c r="D27" s="198">
        <v>-415646.21000000089</v>
      </c>
      <c r="E27" s="292">
        <f>E28-E32</f>
        <v>-1119987.3600000003</v>
      </c>
      <c r="F27" s="71"/>
    </row>
    <row r="28" spans="2:6">
      <c r="B28" s="9" t="s">
        <v>18</v>
      </c>
      <c r="C28" s="10" t="s">
        <v>19</v>
      </c>
      <c r="D28" s="198">
        <v>7791229.2299999995</v>
      </c>
      <c r="E28" s="293">
        <v>7211511.2200000007</v>
      </c>
      <c r="F28" s="71"/>
    </row>
    <row r="29" spans="2:6">
      <c r="B29" s="103" t="s">
        <v>4</v>
      </c>
      <c r="C29" s="6" t="s">
        <v>20</v>
      </c>
      <c r="D29" s="199">
        <v>7532555.9499999993</v>
      </c>
      <c r="E29" s="295">
        <v>6912224.4000000004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258673.28000000003</v>
      </c>
      <c r="E31" s="295">
        <v>299286.82</v>
      </c>
      <c r="F31" s="71"/>
    </row>
    <row r="32" spans="2:6">
      <c r="B32" s="91" t="s">
        <v>23</v>
      </c>
      <c r="C32" s="11" t="s">
        <v>24</v>
      </c>
      <c r="D32" s="198">
        <v>8206875.4400000004</v>
      </c>
      <c r="E32" s="293">
        <f>SUM(E33:E39)</f>
        <v>8331498.580000001</v>
      </c>
      <c r="F32" s="71"/>
    </row>
    <row r="33" spans="2:6">
      <c r="B33" s="103" t="s">
        <v>4</v>
      </c>
      <c r="C33" s="6" t="s">
        <v>25</v>
      </c>
      <c r="D33" s="199">
        <v>6021692.9199999999</v>
      </c>
      <c r="E33" s="295">
        <f>5360827.9+3270.41</f>
        <v>5364098.3100000005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1421888.4</v>
      </c>
      <c r="E35" s="295">
        <v>1402638.24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763294.12</v>
      </c>
      <c r="E39" s="297">
        <v>1564762.03</v>
      </c>
      <c r="F39" s="71"/>
    </row>
    <row r="40" spans="2:6" ht="13.5" thickBot="1">
      <c r="B40" s="96" t="s">
        <v>35</v>
      </c>
      <c r="C40" s="97" t="s">
        <v>36</v>
      </c>
      <c r="D40" s="201">
        <v>4533826.8899999997</v>
      </c>
      <c r="E40" s="306">
        <v>5492682.9500000002</v>
      </c>
    </row>
    <row r="41" spans="2:6" ht="13.5" thickBot="1">
      <c r="B41" s="98" t="s">
        <v>37</v>
      </c>
      <c r="C41" s="99" t="s">
        <v>38</v>
      </c>
      <c r="D41" s="202">
        <v>110131015.30999999</v>
      </c>
      <c r="E41" s="147">
        <f>E26+E27+E40</f>
        <v>112283060.75000001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5.75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213"/>
      <c r="E46" s="28"/>
    </row>
    <row r="47" spans="2:6">
      <c r="B47" s="101" t="s">
        <v>4</v>
      </c>
      <c r="C47" s="15" t="s">
        <v>40</v>
      </c>
      <c r="D47" s="203">
        <v>9785822.5662600007</v>
      </c>
      <c r="E47" s="73">
        <v>9651130.4149999991</v>
      </c>
    </row>
    <row r="48" spans="2:6">
      <c r="B48" s="122" t="s">
        <v>6</v>
      </c>
      <c r="C48" s="22" t="s">
        <v>41</v>
      </c>
      <c r="D48" s="203">
        <v>9756987.0218119323</v>
      </c>
      <c r="E48" s="314">
        <v>9551722.9661999997</v>
      </c>
    </row>
    <row r="49" spans="2:5">
      <c r="B49" s="119" t="s">
        <v>23</v>
      </c>
      <c r="C49" s="123" t="s">
        <v>113</v>
      </c>
      <c r="D49" s="277"/>
      <c r="E49" s="274"/>
    </row>
    <row r="50" spans="2:5">
      <c r="B50" s="101" t="s">
        <v>4</v>
      </c>
      <c r="C50" s="15" t="s">
        <v>40</v>
      </c>
      <c r="D50" s="203">
        <v>10.8333084840013</v>
      </c>
      <c r="E50" s="148">
        <v>11.181100000000001</v>
      </c>
    </row>
    <row r="51" spans="2:5">
      <c r="B51" s="101" t="s">
        <v>6</v>
      </c>
      <c r="C51" s="15" t="s">
        <v>114</v>
      </c>
      <c r="D51" s="203">
        <v>10.7829</v>
      </c>
      <c r="E51" s="339">
        <v>9.1016999999999992</v>
      </c>
    </row>
    <row r="52" spans="2:5" ht="12.75" customHeight="1">
      <c r="B52" s="101" t="s">
        <v>8</v>
      </c>
      <c r="C52" s="15" t="s">
        <v>115</v>
      </c>
      <c r="D52" s="203">
        <v>11.731</v>
      </c>
      <c r="E52" s="339">
        <v>12.0619</v>
      </c>
    </row>
    <row r="53" spans="2:5" ht="13.5" thickBot="1">
      <c r="B53" s="102" t="s">
        <v>9</v>
      </c>
      <c r="C53" s="17" t="s">
        <v>41</v>
      </c>
      <c r="D53" s="205">
        <v>11.2874</v>
      </c>
      <c r="E53" s="315">
        <v>11.7553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112186153.83</v>
      </c>
      <c r="E58" s="31">
        <f>D58/E21</f>
        <v>0.99913694087645355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f>114265275.75-2218053.63</f>
        <v>112047222.12</v>
      </c>
      <c r="E64" s="80">
        <f>D64/E21</f>
        <v>0.99789960633042329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138931.71</v>
      </c>
      <c r="E69" s="78">
        <f>D69/E21</f>
        <v>1.2373345460303547E-3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246708.56</v>
      </c>
      <c r="E72" s="118">
        <f>D72/E21</f>
        <v>2.1972019497161774E-3</v>
      </c>
    </row>
    <row r="73" spans="2:5">
      <c r="B73" s="23" t="s">
        <v>62</v>
      </c>
      <c r="C73" s="24" t="s">
        <v>65</v>
      </c>
      <c r="D73" s="25">
        <f>E17</f>
        <v>149801.64000000001</v>
      </c>
      <c r="E73" s="26">
        <f>D73/E21</f>
        <v>1.334142826169797E-3</v>
      </c>
    </row>
    <row r="74" spans="2:5">
      <c r="B74" s="119" t="s">
        <v>64</v>
      </c>
      <c r="C74" s="120" t="s">
        <v>66</v>
      </c>
      <c r="D74" s="121">
        <f>D58+D71+D72-D73</f>
        <v>112283060.75</v>
      </c>
      <c r="E74" s="66">
        <f>E58+E72-E73</f>
        <v>0.99999999999999989</v>
      </c>
    </row>
    <row r="75" spans="2:5">
      <c r="B75" s="14" t="s">
        <v>4</v>
      </c>
      <c r="C75" s="15" t="s">
        <v>67</v>
      </c>
      <c r="D75" s="77">
        <f>D74</f>
        <v>112283060.75</v>
      </c>
      <c r="E75" s="78">
        <f>E74</f>
        <v>0.99999999999999989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F81"/>
  <sheetViews>
    <sheetView zoomScale="80" zoomScaleNormal="80" workbookViewId="0">
      <selection activeCell="G1" sqref="G1:P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33"/>
      <c r="C4" s="133"/>
      <c r="D4" s="133"/>
      <c r="E4" s="133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167</v>
      </c>
      <c r="C6" s="351"/>
      <c r="D6" s="351"/>
      <c r="E6" s="351"/>
    </row>
    <row r="7" spans="2:5" ht="14.25">
      <c r="B7" s="132"/>
      <c r="C7" s="132"/>
      <c r="D7" s="132"/>
      <c r="E7" s="132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4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1521760.02</v>
      </c>
      <c r="E11" s="229">
        <f>SUM(E12:E14)</f>
        <v>1222583.2</v>
      </c>
    </row>
    <row r="12" spans="2:5">
      <c r="B12" s="170" t="s">
        <v>4</v>
      </c>
      <c r="C12" s="171" t="s">
        <v>5</v>
      </c>
      <c r="D12" s="245">
        <v>1521760.02</v>
      </c>
      <c r="E12" s="251">
        <v>1222583.2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1521760.02</v>
      </c>
      <c r="E21" s="147">
        <f>E11-E17</f>
        <v>1222583.2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1587442.79</v>
      </c>
      <c r="E26" s="219">
        <f>D21</f>
        <v>1521760.02</v>
      </c>
    </row>
    <row r="27" spans="2:6">
      <c r="B27" s="9" t="s">
        <v>17</v>
      </c>
      <c r="C27" s="10" t="s">
        <v>111</v>
      </c>
      <c r="D27" s="198">
        <v>-14977.62</v>
      </c>
      <c r="E27" s="292">
        <f>E28-E32</f>
        <v>-94708.579999999987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14977.62</v>
      </c>
      <c r="E32" s="293">
        <f>SUM(E33:E39)</f>
        <v>94708.579999999987</v>
      </c>
      <c r="F32" s="71"/>
    </row>
    <row r="33" spans="2:6">
      <c r="B33" s="178" t="s">
        <v>4</v>
      </c>
      <c r="C33" s="171" t="s">
        <v>25</v>
      </c>
      <c r="D33" s="199"/>
      <c r="E33" s="295">
        <v>83448.479999999996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1769.45</v>
      </c>
      <c r="E35" s="295">
        <v>1068.8900000000001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13208.17</v>
      </c>
      <c r="E37" s="295">
        <v>10191.209999999999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103041.35</v>
      </c>
      <c r="E40" s="306">
        <v>-204468.24</v>
      </c>
    </row>
    <row r="41" spans="2:6" ht="13.5" thickBot="1">
      <c r="B41" s="98" t="s">
        <v>37</v>
      </c>
      <c r="C41" s="99" t="s">
        <v>38</v>
      </c>
      <c r="D41" s="202">
        <v>1675506.52</v>
      </c>
      <c r="E41" s="147">
        <f>E26+E27+E40</f>
        <v>1222583.2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108580.21799999999</v>
      </c>
      <c r="E47" s="148">
        <v>94872.819000000003</v>
      </c>
    </row>
    <row r="48" spans="2:6">
      <c r="B48" s="183" t="s">
        <v>6</v>
      </c>
      <c r="C48" s="184" t="s">
        <v>41</v>
      </c>
      <c r="D48" s="203">
        <v>107611.209</v>
      </c>
      <c r="E48" s="327">
        <v>88657.23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81" t="s">
        <v>4</v>
      </c>
      <c r="C50" s="182" t="s">
        <v>40</v>
      </c>
      <c r="D50" s="203">
        <v>14.62</v>
      </c>
      <c r="E50" s="220">
        <v>16.04</v>
      </c>
    </row>
    <row r="51" spans="2:5">
      <c r="B51" s="181" t="s">
        <v>6</v>
      </c>
      <c r="C51" s="182" t="s">
        <v>114</v>
      </c>
      <c r="D51" s="203">
        <v>14.55</v>
      </c>
      <c r="E51" s="220">
        <v>11.9</v>
      </c>
    </row>
    <row r="52" spans="2:5">
      <c r="B52" s="181" t="s">
        <v>8</v>
      </c>
      <c r="C52" s="182" t="s">
        <v>115</v>
      </c>
      <c r="D52" s="203">
        <v>15.870000000000001</v>
      </c>
      <c r="E52" s="221">
        <v>16.100000000000001</v>
      </c>
    </row>
    <row r="53" spans="2:5" ht="12.75" customHeight="1" thickBot="1">
      <c r="B53" s="185" t="s">
        <v>9</v>
      </c>
      <c r="C53" s="186" t="s">
        <v>41</v>
      </c>
      <c r="D53" s="205">
        <v>15.57</v>
      </c>
      <c r="E53" s="333">
        <v>13.79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1222583.2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1222583.2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1222583.2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1222583.2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3"/>
      <c r="C4" s="133"/>
      <c r="D4" s="133"/>
      <c r="E4" s="13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168</v>
      </c>
      <c r="C6" s="351"/>
      <c r="D6" s="351"/>
      <c r="E6" s="351"/>
    </row>
    <row r="7" spans="2:7" ht="14.25">
      <c r="B7" s="132"/>
      <c r="C7" s="132"/>
      <c r="D7" s="132"/>
      <c r="E7" s="13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2630051.5</v>
      </c>
      <c r="E11" s="229">
        <f>SUM(E12:E14)</f>
        <v>2306623.7000000002</v>
      </c>
    </row>
    <row r="12" spans="2:7">
      <c r="B12" s="170" t="s">
        <v>4</v>
      </c>
      <c r="C12" s="259" t="s">
        <v>5</v>
      </c>
      <c r="D12" s="245">
        <v>2630051.5</v>
      </c>
      <c r="E12" s="251">
        <v>2306623.7000000002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2630051.5</v>
      </c>
      <c r="E21" s="147">
        <f>E11-E17</f>
        <v>2306623.7000000002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5708222.1600000001</v>
      </c>
      <c r="E26" s="219">
        <f>D21</f>
        <v>2630051.5</v>
      </c>
    </row>
    <row r="27" spans="2:6">
      <c r="B27" s="9" t="s">
        <v>17</v>
      </c>
      <c r="C27" s="10" t="s">
        <v>111</v>
      </c>
      <c r="D27" s="198">
        <v>-3603845.2299999995</v>
      </c>
      <c r="E27" s="292">
        <v>-608488.32999999996</v>
      </c>
      <c r="F27" s="71"/>
    </row>
    <row r="28" spans="2:6">
      <c r="B28" s="9" t="s">
        <v>18</v>
      </c>
      <c r="C28" s="10" t="s">
        <v>19</v>
      </c>
      <c r="D28" s="198">
        <v>50353.93</v>
      </c>
      <c r="E28" s="293">
        <v>9691.83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50353.93</v>
      </c>
      <c r="E31" s="295">
        <v>9691.83</v>
      </c>
      <c r="F31" s="71"/>
    </row>
    <row r="32" spans="2:6">
      <c r="B32" s="91" t="s">
        <v>23</v>
      </c>
      <c r="C32" s="11" t="s">
        <v>24</v>
      </c>
      <c r="D32" s="198">
        <v>3654199.1599999997</v>
      </c>
      <c r="E32" s="293">
        <v>618180.15999999992</v>
      </c>
      <c r="F32" s="71"/>
    </row>
    <row r="33" spans="2:7">
      <c r="B33" s="178" t="s">
        <v>4</v>
      </c>
      <c r="C33" s="259" t="s">
        <v>25</v>
      </c>
      <c r="D33" s="294">
        <v>22332.27</v>
      </c>
      <c r="E33" s="295">
        <v>576743.56999999995</v>
      </c>
      <c r="F33" s="71"/>
    </row>
    <row r="34" spans="2:7">
      <c r="B34" s="178" t="s">
        <v>6</v>
      </c>
      <c r="C34" s="171" t="s">
        <v>26</v>
      </c>
      <c r="D34" s="199"/>
      <c r="E34" s="295"/>
      <c r="F34" s="71"/>
    </row>
    <row r="35" spans="2:7">
      <c r="B35" s="178" t="s">
        <v>8</v>
      </c>
      <c r="C35" s="171" t="s">
        <v>27</v>
      </c>
      <c r="D35" s="199">
        <v>11534.04</v>
      </c>
      <c r="E35" s="295">
        <v>2197.0700000000002</v>
      </c>
      <c r="F35" s="71"/>
    </row>
    <row r="36" spans="2:7">
      <c r="B36" s="178" t="s">
        <v>9</v>
      </c>
      <c r="C36" s="171" t="s">
        <v>28</v>
      </c>
      <c r="D36" s="199"/>
      <c r="E36" s="295"/>
      <c r="F36" s="71"/>
    </row>
    <row r="37" spans="2:7" ht="25.5">
      <c r="B37" s="178" t="s">
        <v>29</v>
      </c>
      <c r="C37" s="171" t="s">
        <v>30</v>
      </c>
      <c r="D37" s="199">
        <v>33138.839999999997</v>
      </c>
      <c r="E37" s="295">
        <v>19599.150000000001</v>
      </c>
      <c r="F37" s="71"/>
    </row>
    <row r="38" spans="2:7">
      <c r="B38" s="178" t="s">
        <v>31</v>
      </c>
      <c r="C38" s="171" t="s">
        <v>32</v>
      </c>
      <c r="D38" s="199"/>
      <c r="E38" s="295"/>
      <c r="F38" s="71"/>
    </row>
    <row r="39" spans="2:7">
      <c r="B39" s="179" t="s">
        <v>33</v>
      </c>
      <c r="C39" s="180" t="s">
        <v>34</v>
      </c>
      <c r="D39" s="200">
        <v>3587194.01</v>
      </c>
      <c r="E39" s="297">
        <v>19640.37</v>
      </c>
      <c r="F39" s="71"/>
    </row>
    <row r="40" spans="2:7" ht="13.5" thickBot="1">
      <c r="B40" s="96" t="s">
        <v>35</v>
      </c>
      <c r="C40" s="97" t="s">
        <v>36</v>
      </c>
      <c r="D40" s="201">
        <v>1074470.07</v>
      </c>
      <c r="E40" s="306">
        <v>285060.53000000003</v>
      </c>
    </row>
    <row r="41" spans="2:7" ht="13.5" thickBot="1">
      <c r="B41" s="98" t="s">
        <v>37</v>
      </c>
      <c r="C41" s="99" t="s">
        <v>38</v>
      </c>
      <c r="D41" s="202">
        <v>3178847.0000000009</v>
      </c>
      <c r="E41" s="147">
        <f>E26+E27+E40</f>
        <v>2306623.7000000002</v>
      </c>
      <c r="F41" s="76"/>
    </row>
    <row r="42" spans="2:7">
      <c r="B42" s="92"/>
      <c r="C42" s="92"/>
      <c r="D42" s="93"/>
      <c r="E42" s="93"/>
      <c r="F42" s="76"/>
    </row>
    <row r="43" spans="2:7" ht="13.5">
      <c r="B43" s="354" t="s">
        <v>60</v>
      </c>
      <c r="C43" s="366"/>
      <c r="D43" s="366"/>
      <c r="E43" s="366"/>
    </row>
    <row r="44" spans="2:7" ht="18" customHeight="1" thickBot="1">
      <c r="B44" s="352" t="s">
        <v>121</v>
      </c>
      <c r="C44" s="365"/>
      <c r="D44" s="365"/>
      <c r="E44" s="365"/>
    </row>
    <row r="45" spans="2:7" ht="13.5" thickBot="1">
      <c r="B45" s="210"/>
      <c r="C45" s="29" t="s">
        <v>39</v>
      </c>
      <c r="D45" s="70" t="s">
        <v>265</v>
      </c>
      <c r="E45" s="261" t="s">
        <v>264</v>
      </c>
    </row>
    <row r="46" spans="2:7">
      <c r="B46" s="13" t="s">
        <v>18</v>
      </c>
      <c r="C46" s="30" t="s">
        <v>112</v>
      </c>
      <c r="D46" s="100"/>
      <c r="E46" s="28"/>
    </row>
    <row r="47" spans="2:7">
      <c r="B47" s="181" t="s">
        <v>4</v>
      </c>
      <c r="C47" s="182" t="s">
        <v>40</v>
      </c>
      <c r="D47" s="203">
        <v>218957.505</v>
      </c>
      <c r="E47" s="148">
        <v>77904.369000000006</v>
      </c>
    </row>
    <row r="48" spans="2:7">
      <c r="B48" s="183" t="s">
        <v>6</v>
      </c>
      <c r="C48" s="184" t="s">
        <v>41</v>
      </c>
      <c r="D48" s="203">
        <v>98324.992267244044</v>
      </c>
      <c r="E48" s="329">
        <v>59788.069000000003</v>
      </c>
      <c r="G48" s="155"/>
    </row>
    <row r="49" spans="2:5">
      <c r="B49" s="119" t="s">
        <v>23</v>
      </c>
      <c r="C49" s="123" t="s">
        <v>113</v>
      </c>
      <c r="D49" s="277"/>
      <c r="E49" s="260"/>
    </row>
    <row r="50" spans="2:5">
      <c r="B50" s="181" t="s">
        <v>4</v>
      </c>
      <c r="C50" s="182" t="s">
        <v>40</v>
      </c>
      <c r="D50" s="203">
        <v>26.07</v>
      </c>
      <c r="E50" s="260">
        <v>33.76</v>
      </c>
    </row>
    <row r="51" spans="2:5">
      <c r="B51" s="181" t="s">
        <v>6</v>
      </c>
      <c r="C51" s="182" t="s">
        <v>114</v>
      </c>
      <c r="D51" s="203">
        <v>25.310000000000002</v>
      </c>
      <c r="E51" s="343">
        <v>25.65</v>
      </c>
    </row>
    <row r="52" spans="2:5">
      <c r="B52" s="181" t="s">
        <v>8</v>
      </c>
      <c r="C52" s="182" t="s">
        <v>115</v>
      </c>
      <c r="D52" s="203">
        <v>32.71</v>
      </c>
      <c r="E52" s="343">
        <v>39.119999999999997</v>
      </c>
    </row>
    <row r="53" spans="2:5" ht="13.5" customHeight="1" thickBot="1">
      <c r="B53" s="185" t="s">
        <v>9</v>
      </c>
      <c r="C53" s="186" t="s">
        <v>41</v>
      </c>
      <c r="D53" s="205">
        <v>32.33</v>
      </c>
      <c r="E53" s="333">
        <v>38.58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2306623.7000000002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2306623.7000000002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2306623.7000000002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2306623.7000000002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169</v>
      </c>
      <c r="C6" s="351"/>
      <c r="D6" s="351"/>
      <c r="E6" s="351"/>
    </row>
    <row r="7" spans="2:7" ht="14.25">
      <c r="B7" s="161"/>
      <c r="C7" s="161"/>
      <c r="D7" s="161"/>
      <c r="E7" s="161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62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374575.96</v>
      </c>
      <c r="E11" s="229">
        <f>SUM(E12:E14)</f>
        <v>242132.66</v>
      </c>
    </row>
    <row r="12" spans="2:7">
      <c r="B12" s="170" t="s">
        <v>4</v>
      </c>
      <c r="C12" s="171" t="s">
        <v>5</v>
      </c>
      <c r="D12" s="245">
        <v>374575.96</v>
      </c>
      <c r="E12" s="251">
        <v>242132.66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374575.96</v>
      </c>
      <c r="E21" s="147">
        <f>E11-E17</f>
        <v>242132.66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237494.78</v>
      </c>
      <c r="E26" s="219">
        <f>D21</f>
        <v>374575.96</v>
      </c>
    </row>
    <row r="27" spans="2:6">
      <c r="B27" s="9" t="s">
        <v>17</v>
      </c>
      <c r="C27" s="10" t="s">
        <v>111</v>
      </c>
      <c r="D27" s="198">
        <v>105219.15000000001</v>
      </c>
      <c r="E27" s="292">
        <f>E28-E32</f>
        <v>-120548.31999999999</v>
      </c>
      <c r="F27" s="71"/>
    </row>
    <row r="28" spans="2:6">
      <c r="B28" s="9" t="s">
        <v>18</v>
      </c>
      <c r="C28" s="10" t="s">
        <v>19</v>
      </c>
      <c r="D28" s="198">
        <v>109010.55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109010.55</v>
      </c>
      <c r="E31" s="295"/>
      <c r="F31" s="71"/>
    </row>
    <row r="32" spans="2:6">
      <c r="B32" s="91" t="s">
        <v>23</v>
      </c>
      <c r="C32" s="11" t="s">
        <v>24</v>
      </c>
      <c r="D32" s="198">
        <v>3791.4</v>
      </c>
      <c r="E32" s="293">
        <f>SUM(E33:E39)</f>
        <v>120548.31999999999</v>
      </c>
      <c r="F32" s="71"/>
    </row>
    <row r="33" spans="2:6">
      <c r="B33" s="178" t="s">
        <v>4</v>
      </c>
      <c r="C33" s="171" t="s">
        <v>25</v>
      </c>
      <c r="D33" s="199"/>
      <c r="E33" s="295">
        <v>116524.93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1353.4</v>
      </c>
      <c r="E35" s="295">
        <v>1865.29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2438</v>
      </c>
      <c r="E37" s="295">
        <v>2158.1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32332.36</v>
      </c>
      <c r="E40" s="306">
        <v>-11894.98</v>
      </c>
    </row>
    <row r="41" spans="2:6" ht="13.5" thickBot="1">
      <c r="B41" s="98" t="s">
        <v>37</v>
      </c>
      <c r="C41" s="99" t="s">
        <v>38</v>
      </c>
      <c r="D41" s="202">
        <v>375046.29</v>
      </c>
      <c r="E41" s="147">
        <f>E26+E27+E40</f>
        <v>242132.66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23125.1</v>
      </c>
      <c r="E47" s="148">
        <v>32487.074000000001</v>
      </c>
    </row>
    <row r="48" spans="2:6">
      <c r="B48" s="183" t="s">
        <v>6</v>
      </c>
      <c r="C48" s="184" t="s">
        <v>41</v>
      </c>
      <c r="D48" s="203">
        <v>32898.796999999999</v>
      </c>
      <c r="E48" s="327">
        <v>22132.784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81" t="s">
        <v>4</v>
      </c>
      <c r="C50" s="182" t="s">
        <v>40</v>
      </c>
      <c r="D50" s="203">
        <v>10.27</v>
      </c>
      <c r="E50" s="220">
        <v>11.53</v>
      </c>
    </row>
    <row r="51" spans="2:5">
      <c r="B51" s="181" t="s">
        <v>6</v>
      </c>
      <c r="C51" s="182" t="s">
        <v>114</v>
      </c>
      <c r="D51" s="203">
        <v>10.27</v>
      </c>
      <c r="E51" s="221">
        <v>9.14</v>
      </c>
    </row>
    <row r="52" spans="2:5">
      <c r="B52" s="181" t="s">
        <v>8</v>
      </c>
      <c r="C52" s="182" t="s">
        <v>115</v>
      </c>
      <c r="D52" s="203">
        <v>11.46</v>
      </c>
      <c r="E52" s="250">
        <v>11.88</v>
      </c>
    </row>
    <row r="53" spans="2:5" ht="13.5" thickBot="1">
      <c r="B53" s="185" t="s">
        <v>9</v>
      </c>
      <c r="C53" s="186" t="s">
        <v>41</v>
      </c>
      <c r="D53" s="205">
        <v>11.4</v>
      </c>
      <c r="E53" s="336">
        <v>10.94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242132.66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242132.66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242132.66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242132.66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6"/>
      <c r="C4" s="146"/>
      <c r="D4" s="146"/>
      <c r="E4" s="146"/>
    </row>
    <row r="5" spans="2:5" ht="14.25">
      <c r="B5" s="350" t="s">
        <v>1</v>
      </c>
      <c r="C5" s="350"/>
      <c r="D5" s="350"/>
      <c r="E5" s="350"/>
    </row>
    <row r="6" spans="2:5" ht="14.25">
      <c r="B6" s="351" t="s">
        <v>170</v>
      </c>
      <c r="C6" s="351"/>
      <c r="D6" s="351"/>
      <c r="E6" s="351"/>
    </row>
    <row r="7" spans="2:5" ht="14.25">
      <c r="B7" s="194"/>
      <c r="C7" s="194"/>
      <c r="D7" s="194"/>
      <c r="E7" s="194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95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240605.07</v>
      </c>
      <c r="E11" s="229">
        <f>SUM(E12:E14)</f>
        <v>240236.2</v>
      </c>
    </row>
    <row r="12" spans="2:5">
      <c r="B12" s="170" t="s">
        <v>4</v>
      </c>
      <c r="C12" s="171" t="s">
        <v>5</v>
      </c>
      <c r="D12" s="245">
        <v>240605.07</v>
      </c>
      <c r="E12" s="251">
        <v>240236.2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240605.07</v>
      </c>
      <c r="E21" s="147">
        <f>E11-E17</f>
        <v>240236.2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237202.49</v>
      </c>
      <c r="E26" s="219">
        <f>D21</f>
        <v>240605.07</v>
      </c>
    </row>
    <row r="27" spans="2:6">
      <c r="B27" s="9" t="s">
        <v>17</v>
      </c>
      <c r="C27" s="10" t="s">
        <v>111</v>
      </c>
      <c r="D27" s="198">
        <v>-1910.61</v>
      </c>
      <c r="E27" s="292">
        <v>-1889.34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1910.61</v>
      </c>
      <c r="E32" s="293">
        <v>1889.34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1910.61</v>
      </c>
      <c r="E37" s="295">
        <v>1889.34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8000.22</v>
      </c>
      <c r="E40" s="306">
        <v>1520.47</v>
      </c>
    </row>
    <row r="41" spans="2:6" ht="13.5" thickBot="1">
      <c r="B41" s="98" t="s">
        <v>37</v>
      </c>
      <c r="C41" s="99" t="s">
        <v>38</v>
      </c>
      <c r="D41" s="202">
        <v>243292.1</v>
      </c>
      <c r="E41" s="147">
        <f>E26+E27+E40</f>
        <v>240236.2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2396.7109999999998</v>
      </c>
      <c r="E47" s="148">
        <v>2358.6419999999998</v>
      </c>
    </row>
    <row r="48" spans="2:6">
      <c r="B48" s="183" t="s">
        <v>6</v>
      </c>
      <c r="C48" s="184" t="s">
        <v>41</v>
      </c>
      <c r="D48" s="203">
        <v>2377.7570000000001</v>
      </c>
      <c r="E48" s="326">
        <v>2339.8870000000002</v>
      </c>
    </row>
    <row r="49" spans="2:5">
      <c r="B49" s="119" t="s">
        <v>23</v>
      </c>
      <c r="C49" s="123" t="s">
        <v>113</v>
      </c>
      <c r="D49" s="277"/>
      <c r="E49" s="225"/>
    </row>
    <row r="50" spans="2:5">
      <c r="B50" s="181" t="s">
        <v>4</v>
      </c>
      <c r="C50" s="182" t="s">
        <v>40</v>
      </c>
      <c r="D50" s="203">
        <v>98.97</v>
      </c>
      <c r="E50" s="148">
        <v>102.01</v>
      </c>
    </row>
    <row r="51" spans="2:5">
      <c r="B51" s="181" t="s">
        <v>6</v>
      </c>
      <c r="C51" s="182" t="s">
        <v>114</v>
      </c>
      <c r="D51" s="203">
        <v>98.94</v>
      </c>
      <c r="E51" s="74">
        <v>96.3</v>
      </c>
    </row>
    <row r="52" spans="2:5">
      <c r="B52" s="181" t="s">
        <v>8</v>
      </c>
      <c r="C52" s="182" t="s">
        <v>115</v>
      </c>
      <c r="D52" s="203">
        <v>102.47</v>
      </c>
      <c r="E52" s="74">
        <v>103.13</v>
      </c>
    </row>
    <row r="53" spans="2:5" ht="13.5" thickBot="1">
      <c r="B53" s="185" t="s">
        <v>9</v>
      </c>
      <c r="C53" s="186" t="s">
        <v>41</v>
      </c>
      <c r="D53" s="205">
        <v>102.32</v>
      </c>
      <c r="E53" s="333">
        <v>102.67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240236.2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240236.2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240236.2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240236.2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33"/>
      <c r="C4" s="133"/>
      <c r="D4" s="133"/>
      <c r="E4" s="133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171</v>
      </c>
      <c r="C6" s="351"/>
      <c r="D6" s="351"/>
      <c r="E6" s="351"/>
    </row>
    <row r="7" spans="2:5" ht="14.25">
      <c r="B7" s="132"/>
      <c r="C7" s="132"/>
      <c r="D7" s="132"/>
      <c r="E7" s="132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4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176046.98</v>
      </c>
      <c r="E11" s="229">
        <f>SUM(E12:E14)</f>
        <v>176158.15</v>
      </c>
    </row>
    <row r="12" spans="2:5">
      <c r="B12" s="170" t="s">
        <v>4</v>
      </c>
      <c r="C12" s="171" t="s">
        <v>5</v>
      </c>
      <c r="D12" s="245">
        <v>176046.98</v>
      </c>
      <c r="E12" s="251">
        <v>176158.15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176046.98</v>
      </c>
      <c r="E21" s="147">
        <f>E11-E17</f>
        <v>176158.15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318">
        <v>495016.01</v>
      </c>
      <c r="E26" s="219">
        <f>D21</f>
        <v>176046.98</v>
      </c>
    </row>
    <row r="27" spans="2:6">
      <c r="B27" s="9" t="s">
        <v>17</v>
      </c>
      <c r="C27" s="10" t="s">
        <v>111</v>
      </c>
      <c r="D27" s="319">
        <v>-9154.4399999999987</v>
      </c>
      <c r="E27" s="292">
        <f>E28-E32</f>
        <v>-13195.560000000001</v>
      </c>
      <c r="F27" s="71"/>
    </row>
    <row r="28" spans="2:6">
      <c r="B28" s="9" t="s">
        <v>18</v>
      </c>
      <c r="C28" s="10" t="s">
        <v>19</v>
      </c>
      <c r="D28" s="319">
        <v>0</v>
      </c>
      <c r="E28" s="293">
        <v>17998.09</v>
      </c>
      <c r="F28" s="71"/>
    </row>
    <row r="29" spans="2:6">
      <c r="B29" s="178" t="s">
        <v>4</v>
      </c>
      <c r="C29" s="171" t="s">
        <v>20</v>
      </c>
      <c r="D29" s="245"/>
      <c r="E29" s="295"/>
      <c r="F29" s="71"/>
    </row>
    <row r="30" spans="2:6">
      <c r="B30" s="178" t="s">
        <v>6</v>
      </c>
      <c r="C30" s="171" t="s">
        <v>21</v>
      </c>
      <c r="D30" s="245"/>
      <c r="E30" s="295"/>
      <c r="F30" s="71"/>
    </row>
    <row r="31" spans="2:6">
      <c r="B31" s="178" t="s">
        <v>8</v>
      </c>
      <c r="C31" s="171" t="s">
        <v>22</v>
      </c>
      <c r="D31" s="245"/>
      <c r="E31" s="295">
        <v>17998.09</v>
      </c>
      <c r="F31" s="71"/>
    </row>
    <row r="32" spans="2:6">
      <c r="B32" s="91" t="s">
        <v>23</v>
      </c>
      <c r="C32" s="11" t="s">
        <v>24</v>
      </c>
      <c r="D32" s="319">
        <v>9154.4399999999987</v>
      </c>
      <c r="E32" s="293">
        <v>31193.65</v>
      </c>
      <c r="F32" s="71"/>
    </row>
    <row r="33" spans="2:6">
      <c r="B33" s="178" t="s">
        <v>4</v>
      </c>
      <c r="C33" s="171" t="s">
        <v>25</v>
      </c>
      <c r="D33" s="245">
        <v>2873.86</v>
      </c>
      <c r="E33" s="295">
        <v>20009.310000000001</v>
      </c>
      <c r="F33" s="71"/>
    </row>
    <row r="34" spans="2:6">
      <c r="B34" s="178" t="s">
        <v>6</v>
      </c>
      <c r="C34" s="171" t="s">
        <v>26</v>
      </c>
      <c r="D34" s="245"/>
      <c r="E34" s="295"/>
      <c r="F34" s="71"/>
    </row>
    <row r="35" spans="2:6">
      <c r="B35" s="178" t="s">
        <v>8</v>
      </c>
      <c r="C35" s="171" t="s">
        <v>27</v>
      </c>
      <c r="D35" s="245">
        <v>1141.76</v>
      </c>
      <c r="E35" s="295">
        <v>62.9</v>
      </c>
      <c r="F35" s="71"/>
    </row>
    <row r="36" spans="2:6">
      <c r="B36" s="178" t="s">
        <v>9</v>
      </c>
      <c r="C36" s="171" t="s">
        <v>28</v>
      </c>
      <c r="D36" s="245"/>
      <c r="E36" s="295"/>
      <c r="F36" s="71"/>
    </row>
    <row r="37" spans="2:6" ht="25.5">
      <c r="B37" s="178" t="s">
        <v>29</v>
      </c>
      <c r="C37" s="171" t="s">
        <v>30</v>
      </c>
      <c r="D37" s="245">
        <v>5138.82</v>
      </c>
      <c r="E37" s="295">
        <v>1608.07</v>
      </c>
      <c r="F37" s="71"/>
    </row>
    <row r="38" spans="2:6">
      <c r="B38" s="178" t="s">
        <v>31</v>
      </c>
      <c r="C38" s="171" t="s">
        <v>32</v>
      </c>
      <c r="D38" s="245"/>
      <c r="E38" s="295"/>
      <c r="F38" s="71"/>
    </row>
    <row r="39" spans="2:6">
      <c r="B39" s="179" t="s">
        <v>33</v>
      </c>
      <c r="C39" s="180" t="s">
        <v>34</v>
      </c>
      <c r="D39" s="320"/>
      <c r="E39" s="297">
        <v>9513.3700000000008</v>
      </c>
      <c r="F39" s="71"/>
    </row>
    <row r="40" spans="2:6" ht="13.5" thickBot="1">
      <c r="B40" s="96" t="s">
        <v>35</v>
      </c>
      <c r="C40" s="97" t="s">
        <v>36</v>
      </c>
      <c r="D40" s="321">
        <v>79516.740000000005</v>
      </c>
      <c r="E40" s="306">
        <v>13306.73</v>
      </c>
    </row>
    <row r="41" spans="2:6" ht="13.5" thickBot="1">
      <c r="B41" s="98" t="s">
        <v>37</v>
      </c>
      <c r="C41" s="99" t="s">
        <v>38</v>
      </c>
      <c r="D41" s="232">
        <v>565378.31000000006</v>
      </c>
      <c r="E41" s="147">
        <f>E26+E27+E40</f>
        <v>176158.15000000002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307">
        <v>1968.6459</v>
      </c>
      <c r="E47" s="148">
        <v>565.77639999999997</v>
      </c>
    </row>
    <row r="48" spans="2:6">
      <c r="B48" s="183" t="s">
        <v>6</v>
      </c>
      <c r="C48" s="184" t="s">
        <v>41</v>
      </c>
      <c r="D48" s="307">
        <v>1935.8293000000001</v>
      </c>
      <c r="E48" s="327">
        <v>520.26980000000003</v>
      </c>
    </row>
    <row r="49" spans="2:5">
      <c r="B49" s="119" t="s">
        <v>23</v>
      </c>
      <c r="C49" s="123" t="s">
        <v>113</v>
      </c>
      <c r="D49" s="276"/>
      <c r="E49" s="220"/>
    </row>
    <row r="50" spans="2:5">
      <c r="B50" s="181" t="s">
        <v>4</v>
      </c>
      <c r="C50" s="182" t="s">
        <v>40</v>
      </c>
      <c r="D50" s="307">
        <v>251.45</v>
      </c>
      <c r="E50" s="220">
        <v>311.16000000000003</v>
      </c>
    </row>
    <row r="51" spans="2:5">
      <c r="B51" s="181" t="s">
        <v>6</v>
      </c>
      <c r="C51" s="182" t="s">
        <v>114</v>
      </c>
      <c r="D51" s="307">
        <v>246.9</v>
      </c>
      <c r="E51" s="220">
        <v>222.45</v>
      </c>
    </row>
    <row r="52" spans="2:5">
      <c r="B52" s="181" t="s">
        <v>8</v>
      </c>
      <c r="C52" s="182" t="s">
        <v>115</v>
      </c>
      <c r="D52" s="307">
        <v>295.66000000000003</v>
      </c>
      <c r="E52" s="221">
        <v>349.39</v>
      </c>
    </row>
    <row r="53" spans="2:5" ht="14.25" customHeight="1" thickBot="1">
      <c r="B53" s="185" t="s">
        <v>9</v>
      </c>
      <c r="C53" s="186" t="s">
        <v>41</v>
      </c>
      <c r="D53" s="205">
        <v>292.06</v>
      </c>
      <c r="E53" s="335">
        <v>338.59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176158.15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176158.15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176158.15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176158.15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3"/>
      <c r="C4" s="133"/>
      <c r="D4" s="133"/>
      <c r="E4" s="13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172</v>
      </c>
      <c r="C6" s="351"/>
      <c r="D6" s="351"/>
      <c r="E6" s="351"/>
    </row>
    <row r="7" spans="2:7" ht="14.25">
      <c r="B7" s="132"/>
      <c r="C7" s="132"/>
      <c r="D7" s="132"/>
      <c r="E7" s="13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54284.9</v>
      </c>
      <c r="E11" s="229">
        <f>SUM(E12:E14)</f>
        <v>69759.960000000006</v>
      </c>
    </row>
    <row r="12" spans="2:7">
      <c r="B12" s="170" t="s">
        <v>4</v>
      </c>
      <c r="C12" s="171" t="s">
        <v>5</v>
      </c>
      <c r="D12" s="245">
        <v>54284.9</v>
      </c>
      <c r="E12" s="251">
        <v>69759.960000000006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54284.9</v>
      </c>
      <c r="E21" s="147">
        <f>E11-E17</f>
        <v>69759.960000000006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133581.01999999999</v>
      </c>
      <c r="E26" s="219">
        <f>D21</f>
        <v>54284.9</v>
      </c>
    </row>
    <row r="27" spans="2:6">
      <c r="B27" s="9" t="s">
        <v>17</v>
      </c>
      <c r="C27" s="10" t="s">
        <v>111</v>
      </c>
      <c r="D27" s="198">
        <v>4381.5599999999977</v>
      </c>
      <c r="E27" s="292">
        <f>E28-E32</f>
        <v>15056.61</v>
      </c>
      <c r="F27" s="71"/>
    </row>
    <row r="28" spans="2:6">
      <c r="B28" s="9" t="s">
        <v>18</v>
      </c>
      <c r="C28" s="10" t="s">
        <v>19</v>
      </c>
      <c r="D28" s="198">
        <v>65048.479999999996</v>
      </c>
      <c r="E28" s="293">
        <v>100235.44</v>
      </c>
      <c r="F28" s="71"/>
    </row>
    <row r="29" spans="2:6">
      <c r="B29" s="178" t="s">
        <v>4</v>
      </c>
      <c r="C29" s="171" t="s">
        <v>20</v>
      </c>
      <c r="D29" s="199">
        <v>10432.299999999999</v>
      </c>
      <c r="E29" s="295">
        <v>10535.1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54616.18</v>
      </c>
      <c r="E31" s="295">
        <v>89700.34</v>
      </c>
      <c r="F31" s="71"/>
    </row>
    <row r="32" spans="2:6">
      <c r="B32" s="91" t="s">
        <v>23</v>
      </c>
      <c r="C32" s="11" t="s">
        <v>24</v>
      </c>
      <c r="D32" s="198">
        <v>60666.92</v>
      </c>
      <c r="E32" s="293">
        <f>SUM(E33:E39)</f>
        <v>85178.83</v>
      </c>
      <c r="F32" s="71"/>
    </row>
    <row r="33" spans="2:6">
      <c r="B33" s="178" t="s">
        <v>4</v>
      </c>
      <c r="C33" s="171" t="s">
        <v>25</v>
      </c>
      <c r="D33" s="199">
        <v>7078.68</v>
      </c>
      <c r="E33" s="295">
        <v>25928.57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238.29</v>
      </c>
      <c r="E35" s="295">
        <v>447.25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401.12</v>
      </c>
      <c r="E37" s="295">
        <v>339.34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52948.83</v>
      </c>
      <c r="E39" s="297">
        <v>58463.67</v>
      </c>
      <c r="F39" s="71"/>
    </row>
    <row r="40" spans="2:6" ht="13.5" thickBot="1">
      <c r="B40" s="96" t="s">
        <v>35</v>
      </c>
      <c r="C40" s="97" t="s">
        <v>36</v>
      </c>
      <c r="D40" s="201">
        <v>13698.27</v>
      </c>
      <c r="E40" s="306">
        <v>418.45</v>
      </c>
    </row>
    <row r="41" spans="2:6" ht="13.5" thickBot="1">
      <c r="B41" s="98" t="s">
        <v>37</v>
      </c>
      <c r="C41" s="99" t="s">
        <v>38</v>
      </c>
      <c r="D41" s="202">
        <v>151660.84999999998</v>
      </c>
      <c r="E41" s="147">
        <f>E26+E27+E40</f>
        <v>69759.960000000006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322.20030000000003</v>
      </c>
      <c r="E47" s="148">
        <v>110.1404</v>
      </c>
    </row>
    <row r="48" spans="2:6">
      <c r="B48" s="183" t="s">
        <v>6</v>
      </c>
      <c r="C48" s="184" t="s">
        <v>41</v>
      </c>
      <c r="D48" s="203">
        <v>324.58179999999999</v>
      </c>
      <c r="E48" s="327">
        <v>132.5479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81" t="s">
        <v>4</v>
      </c>
      <c r="C50" s="182" t="s">
        <v>40</v>
      </c>
      <c r="D50" s="203">
        <v>414.59</v>
      </c>
      <c r="E50" s="220">
        <v>492.87</v>
      </c>
    </row>
    <row r="51" spans="2:5">
      <c r="B51" s="181" t="s">
        <v>6</v>
      </c>
      <c r="C51" s="182" t="s">
        <v>114</v>
      </c>
      <c r="D51" s="203">
        <v>410.28000000000003</v>
      </c>
      <c r="E51" s="220">
        <v>375.52</v>
      </c>
    </row>
    <row r="52" spans="2:5">
      <c r="B52" s="181" t="s">
        <v>8</v>
      </c>
      <c r="C52" s="182" t="s">
        <v>115</v>
      </c>
      <c r="D52" s="203">
        <v>470.26</v>
      </c>
      <c r="E52" s="221">
        <v>539.87</v>
      </c>
    </row>
    <row r="53" spans="2:5" ht="13.5" customHeight="1" thickBot="1">
      <c r="B53" s="185" t="s">
        <v>9</v>
      </c>
      <c r="C53" s="186" t="s">
        <v>41</v>
      </c>
      <c r="D53" s="205">
        <v>467.25</v>
      </c>
      <c r="E53" s="333">
        <v>526.29999999999995</v>
      </c>
    </row>
    <row r="54" spans="2:5">
      <c r="B54" s="108"/>
      <c r="C54" s="109"/>
      <c r="D54" s="110"/>
      <c r="E54" s="196"/>
    </row>
    <row r="55" spans="2:5" ht="13.5">
      <c r="B55" s="354" t="s">
        <v>62</v>
      </c>
      <c r="C55" s="355"/>
      <c r="D55" s="355"/>
      <c r="E55" s="355"/>
    </row>
    <row r="56" spans="2:5" ht="20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69759.960000000006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69759.960000000006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69759.960000000006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69759.960000000006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G81"/>
  <sheetViews>
    <sheetView zoomScale="80" zoomScaleNormal="80" workbookViewId="0">
      <selection activeCell="N31" sqref="N3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3"/>
      <c r="C4" s="133"/>
      <c r="D4" s="133"/>
      <c r="E4" s="13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173</v>
      </c>
      <c r="C6" s="351"/>
      <c r="D6" s="351"/>
      <c r="E6" s="351"/>
    </row>
    <row r="7" spans="2:7" ht="14.25">
      <c r="B7" s="132"/>
      <c r="C7" s="132"/>
      <c r="D7" s="132"/>
      <c r="E7" s="13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322565.65000000002</v>
      </c>
      <c r="E11" s="229">
        <f>SUM(E12:E14)</f>
        <v>260441.77</v>
      </c>
    </row>
    <row r="12" spans="2:7">
      <c r="B12" s="105" t="s">
        <v>4</v>
      </c>
      <c r="C12" s="6" t="s">
        <v>5</v>
      </c>
      <c r="D12" s="245">
        <v>322565.65000000002</v>
      </c>
      <c r="E12" s="251">
        <v>260441.77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322565.65000000002</v>
      </c>
      <c r="E21" s="147">
        <f>E11-E17</f>
        <v>260441.77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134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184427.76</v>
      </c>
      <c r="E26" s="219">
        <f>D21</f>
        <v>322565.65000000002</v>
      </c>
    </row>
    <row r="27" spans="2:6">
      <c r="B27" s="9" t="s">
        <v>17</v>
      </c>
      <c r="C27" s="10" t="s">
        <v>111</v>
      </c>
      <c r="D27" s="198">
        <v>10971.02</v>
      </c>
      <c r="E27" s="292">
        <f>E28-E32</f>
        <v>-69375.709999999992</v>
      </c>
      <c r="F27" s="71"/>
    </row>
    <row r="28" spans="2:6">
      <c r="B28" s="9" t="s">
        <v>18</v>
      </c>
      <c r="C28" s="10" t="s">
        <v>19</v>
      </c>
      <c r="D28" s="198">
        <v>26827.309999999998</v>
      </c>
      <c r="E28" s="293">
        <v>94465.87</v>
      </c>
      <c r="F28" s="71"/>
    </row>
    <row r="29" spans="2:6">
      <c r="B29" s="103" t="s">
        <v>4</v>
      </c>
      <c r="C29" s="6" t="s">
        <v>20</v>
      </c>
      <c r="D29" s="199">
        <v>9087.2999999999993</v>
      </c>
      <c r="E29" s="295">
        <v>8952.07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17740.009999999998</v>
      </c>
      <c r="E31" s="295">
        <v>85513.8</v>
      </c>
      <c r="F31" s="71"/>
    </row>
    <row r="32" spans="2:6">
      <c r="B32" s="91" t="s">
        <v>23</v>
      </c>
      <c r="C32" s="11" t="s">
        <v>24</v>
      </c>
      <c r="D32" s="198">
        <v>15856.289999999997</v>
      </c>
      <c r="E32" s="293">
        <f>SUM(E33:E39)</f>
        <v>163841.57999999999</v>
      </c>
      <c r="F32" s="71"/>
    </row>
    <row r="33" spans="2:6">
      <c r="B33" s="103" t="s">
        <v>4</v>
      </c>
      <c r="C33" s="6" t="s">
        <v>25</v>
      </c>
      <c r="D33" s="199">
        <v>9152.14</v>
      </c>
      <c r="E33" s="295">
        <f>10471.64+7</f>
        <v>10478.64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522.48</v>
      </c>
      <c r="E35" s="295">
        <v>643.78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1296.1199999999999</v>
      </c>
      <c r="E37" s="295">
        <v>1591.58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4885.55</v>
      </c>
      <c r="E39" s="297">
        <v>151127.57999999999</v>
      </c>
      <c r="F39" s="71"/>
    </row>
    <row r="40" spans="2:6" ht="13.5" thickBot="1">
      <c r="B40" s="96" t="s">
        <v>35</v>
      </c>
      <c r="C40" s="97" t="s">
        <v>36</v>
      </c>
      <c r="D40" s="201">
        <v>26820.58</v>
      </c>
      <c r="E40" s="306">
        <v>7251.83</v>
      </c>
    </row>
    <row r="41" spans="2:6" ht="13.5" thickBot="1">
      <c r="B41" s="98" t="s">
        <v>37</v>
      </c>
      <c r="C41" s="99" t="s">
        <v>38</v>
      </c>
      <c r="D41" s="202">
        <v>222219.36</v>
      </c>
      <c r="E41" s="147">
        <f>E26+E27+E40</f>
        <v>260441.77000000002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34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739.42650000000003</v>
      </c>
      <c r="E47" s="148">
        <v>1111.9885999999999</v>
      </c>
    </row>
    <row r="48" spans="2:6">
      <c r="B48" s="122" t="s">
        <v>6</v>
      </c>
      <c r="C48" s="22" t="s">
        <v>41</v>
      </c>
      <c r="D48" s="203">
        <v>776.17659797415286</v>
      </c>
      <c r="E48" s="327">
        <v>857.19569999999999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01" t="s">
        <v>4</v>
      </c>
      <c r="C50" s="15" t="s">
        <v>40</v>
      </c>
      <c r="D50" s="203">
        <v>249.42</v>
      </c>
      <c r="E50" s="220">
        <v>290.08</v>
      </c>
    </row>
    <row r="51" spans="2:5">
      <c r="B51" s="101" t="s">
        <v>6</v>
      </c>
      <c r="C51" s="15" t="s">
        <v>114</v>
      </c>
      <c r="D51" s="203">
        <v>248.48000000000002</v>
      </c>
      <c r="E51" s="221">
        <v>221.58</v>
      </c>
    </row>
    <row r="52" spans="2:5">
      <c r="B52" s="101" t="s">
        <v>8</v>
      </c>
      <c r="C52" s="15" t="s">
        <v>115</v>
      </c>
      <c r="D52" s="203">
        <v>288.40000000000003</v>
      </c>
      <c r="E52" s="221">
        <v>313.69</v>
      </c>
    </row>
    <row r="53" spans="2:5" ht="12.75" customHeight="1" thickBot="1">
      <c r="B53" s="102" t="s">
        <v>9</v>
      </c>
      <c r="C53" s="17" t="s">
        <v>41</v>
      </c>
      <c r="D53" s="205">
        <v>286.3</v>
      </c>
      <c r="E53" s="333">
        <v>303.83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260441.77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260441.77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260441.77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260441.77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G81"/>
  <sheetViews>
    <sheetView zoomScale="80" zoomScaleNormal="80" workbookViewId="0">
      <selection activeCell="N30" sqref="N3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3"/>
      <c r="C4" s="133"/>
      <c r="D4" s="133"/>
      <c r="E4" s="13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174</v>
      </c>
      <c r="C6" s="351"/>
      <c r="D6" s="351"/>
      <c r="E6" s="351"/>
    </row>
    <row r="7" spans="2:7" ht="14.25">
      <c r="B7" s="132"/>
      <c r="C7" s="132"/>
      <c r="D7" s="132"/>
      <c r="E7" s="13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1054816.6299999999</v>
      </c>
      <c r="E11" s="229">
        <f>SUM(E12:E14)</f>
        <v>1092791.99</v>
      </c>
    </row>
    <row r="12" spans="2:7">
      <c r="B12" s="170" t="s">
        <v>4</v>
      </c>
      <c r="C12" s="171" t="s">
        <v>5</v>
      </c>
      <c r="D12" s="245">
        <v>1054816.6299999999</v>
      </c>
      <c r="E12" s="251">
        <v>1092791.99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1054816.6299999999</v>
      </c>
      <c r="E21" s="147">
        <f>E11-E17</f>
        <v>1092791.99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1162478.51</v>
      </c>
      <c r="E26" s="219">
        <f>D21</f>
        <v>1054816.6299999999</v>
      </c>
    </row>
    <row r="27" spans="2:6">
      <c r="B27" s="9" t="s">
        <v>17</v>
      </c>
      <c r="C27" s="10" t="s">
        <v>111</v>
      </c>
      <c r="D27" s="198">
        <v>-211229.1</v>
      </c>
      <c r="E27" s="292">
        <f>E28-E32</f>
        <v>-71859.62999999999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16600.990000000002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16600.990000000002</v>
      </c>
      <c r="F31" s="71"/>
    </row>
    <row r="32" spans="2:6">
      <c r="B32" s="91" t="s">
        <v>23</v>
      </c>
      <c r="C32" s="11" t="s">
        <v>24</v>
      </c>
      <c r="D32" s="198">
        <v>211229.1</v>
      </c>
      <c r="E32" s="293">
        <v>88460.62</v>
      </c>
      <c r="F32" s="71"/>
    </row>
    <row r="33" spans="2:6">
      <c r="B33" s="178" t="s">
        <v>4</v>
      </c>
      <c r="C33" s="171" t="s">
        <v>25</v>
      </c>
      <c r="D33" s="199">
        <v>199497.69</v>
      </c>
      <c r="E33" s="295">
        <v>45089.13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550.49</v>
      </c>
      <c r="E35" s="295">
        <v>313.82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11180.92</v>
      </c>
      <c r="E37" s="295">
        <v>10383.01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32674.66</v>
      </c>
      <c r="F39" s="71"/>
    </row>
    <row r="40" spans="2:6" ht="13.5" thickBot="1">
      <c r="B40" s="96" t="s">
        <v>35</v>
      </c>
      <c r="C40" s="97" t="s">
        <v>36</v>
      </c>
      <c r="D40" s="201">
        <v>136928.85</v>
      </c>
      <c r="E40" s="306">
        <v>109834.99</v>
      </c>
    </row>
    <row r="41" spans="2:6" ht="13.5" thickBot="1">
      <c r="B41" s="98" t="s">
        <v>37</v>
      </c>
      <c r="C41" s="99" t="s">
        <v>38</v>
      </c>
      <c r="D41" s="202">
        <v>1088178.26</v>
      </c>
      <c r="E41" s="147">
        <f>E26+E27+E40</f>
        <v>1092791.99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2091.1648</v>
      </c>
      <c r="E47" s="148">
        <v>1574.6116999999999</v>
      </c>
    </row>
    <row r="48" spans="2:6">
      <c r="B48" s="183" t="s">
        <v>6</v>
      </c>
      <c r="C48" s="184" t="s">
        <v>41</v>
      </c>
      <c r="D48" s="203">
        <v>1741.3916999999999</v>
      </c>
      <c r="E48" s="327">
        <v>1467.82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81" t="s">
        <v>4</v>
      </c>
      <c r="C50" s="182" t="s">
        <v>40</v>
      </c>
      <c r="D50" s="203">
        <v>555.9</v>
      </c>
      <c r="E50" s="220">
        <v>669.89</v>
      </c>
    </row>
    <row r="51" spans="2:5">
      <c r="B51" s="181" t="s">
        <v>6</v>
      </c>
      <c r="C51" s="182" t="s">
        <v>114</v>
      </c>
      <c r="D51" s="203">
        <v>549.43000000000006</v>
      </c>
      <c r="E51" s="220">
        <v>556.80999999999995</v>
      </c>
    </row>
    <row r="52" spans="2:5">
      <c r="B52" s="181" t="s">
        <v>8</v>
      </c>
      <c r="C52" s="182" t="s">
        <v>115</v>
      </c>
      <c r="D52" s="203">
        <v>631.34</v>
      </c>
      <c r="E52" s="339">
        <v>757.08</v>
      </c>
    </row>
    <row r="53" spans="2:5" ht="13.5" customHeight="1" thickBot="1">
      <c r="B53" s="185" t="s">
        <v>9</v>
      </c>
      <c r="C53" s="186" t="s">
        <v>41</v>
      </c>
      <c r="D53" s="205">
        <v>624.89</v>
      </c>
      <c r="E53" s="333">
        <v>744.5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1092791.99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1092791.99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1092791.99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1092791.99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3"/>
      <c r="C4" s="133"/>
      <c r="D4" s="133"/>
      <c r="E4" s="13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175</v>
      </c>
      <c r="C6" s="351"/>
      <c r="D6" s="351"/>
      <c r="E6" s="351"/>
    </row>
    <row r="7" spans="2:7" ht="14.25">
      <c r="B7" s="132"/>
      <c r="C7" s="132"/>
      <c r="D7" s="132"/>
      <c r="E7" s="13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97480.51</v>
      </c>
      <c r="E11" s="229">
        <f>SUM(E12:E14)</f>
        <v>84505.1</v>
      </c>
    </row>
    <row r="12" spans="2:7">
      <c r="B12" s="170" t="s">
        <v>4</v>
      </c>
      <c r="C12" s="171" t="s">
        <v>5</v>
      </c>
      <c r="D12" s="245">
        <v>97480.51</v>
      </c>
      <c r="E12" s="251">
        <v>84505.1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97480.51</v>
      </c>
      <c r="E21" s="147">
        <f>E11-E17</f>
        <v>84505.1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34332.910000000003</v>
      </c>
      <c r="E26" s="219">
        <f>D21</f>
        <v>97480.51</v>
      </c>
    </row>
    <row r="27" spans="2:6">
      <c r="B27" s="9" t="s">
        <v>17</v>
      </c>
      <c r="C27" s="10" t="s">
        <v>111</v>
      </c>
      <c r="D27" s="198">
        <v>65891.200000000012</v>
      </c>
      <c r="E27" s="292">
        <f>E28-E32</f>
        <v>18282.650000000009</v>
      </c>
      <c r="F27" s="71"/>
    </row>
    <row r="28" spans="2:6">
      <c r="B28" s="9" t="s">
        <v>18</v>
      </c>
      <c r="C28" s="10" t="s">
        <v>19</v>
      </c>
      <c r="D28" s="198">
        <v>67241.320000000007</v>
      </c>
      <c r="E28" s="293">
        <v>80706.100000000006</v>
      </c>
      <c r="F28" s="71"/>
    </row>
    <row r="29" spans="2:6">
      <c r="B29" s="178" t="s">
        <v>4</v>
      </c>
      <c r="C29" s="171" t="s">
        <v>20</v>
      </c>
      <c r="D29" s="199">
        <v>5413.95</v>
      </c>
      <c r="E29" s="295">
        <v>4132.6099999999997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61827.37</v>
      </c>
      <c r="E31" s="295">
        <v>76573.490000000005</v>
      </c>
      <c r="F31" s="71"/>
    </row>
    <row r="32" spans="2:6">
      <c r="B32" s="91" t="s">
        <v>23</v>
      </c>
      <c r="C32" s="11" t="s">
        <v>24</v>
      </c>
      <c r="D32" s="198">
        <v>1350.12</v>
      </c>
      <c r="E32" s="293">
        <f>SUM(E33:E39)</f>
        <v>62423.45</v>
      </c>
      <c r="F32" s="71"/>
    </row>
    <row r="33" spans="2:6">
      <c r="B33" s="178" t="s">
        <v>4</v>
      </c>
      <c r="C33" s="171" t="s">
        <v>25</v>
      </c>
      <c r="D33" s="199">
        <v>522.16999999999996</v>
      </c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241.04</v>
      </c>
      <c r="E35" s="295">
        <v>305.04000000000002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269.57</v>
      </c>
      <c r="E37" s="295">
        <v>374.31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317.33999999999997</v>
      </c>
      <c r="E39" s="297">
        <v>61744.1</v>
      </c>
      <c r="F39" s="71"/>
    </row>
    <row r="40" spans="2:6" ht="13.5" thickBot="1">
      <c r="B40" s="96" t="s">
        <v>35</v>
      </c>
      <c r="C40" s="97" t="s">
        <v>36</v>
      </c>
      <c r="D40" s="201">
        <v>8240.32</v>
      </c>
      <c r="E40" s="306">
        <v>-31258.06</v>
      </c>
    </row>
    <row r="41" spans="2:6" ht="13.5" thickBot="1">
      <c r="B41" s="98" t="s">
        <v>37</v>
      </c>
      <c r="C41" s="99" t="s">
        <v>38</v>
      </c>
      <c r="D41" s="202">
        <v>108464.43000000002</v>
      </c>
      <c r="E41" s="147">
        <f>E26+E27+E40</f>
        <v>84505.1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212.95688999999999</v>
      </c>
      <c r="E47" s="148">
        <v>469.01710000000003</v>
      </c>
    </row>
    <row r="48" spans="2:6">
      <c r="B48" s="183" t="s">
        <v>6</v>
      </c>
      <c r="C48" s="184" t="s">
        <v>41</v>
      </c>
      <c r="D48" s="203">
        <v>577.86057538625471</v>
      </c>
      <c r="E48" s="327">
        <v>545.58140000000003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81" t="s">
        <v>4</v>
      </c>
      <c r="C50" s="182" t="s">
        <v>40</v>
      </c>
      <c r="D50" s="203">
        <v>161.22</v>
      </c>
      <c r="E50" s="220">
        <v>207.84</v>
      </c>
    </row>
    <row r="51" spans="2:5">
      <c r="B51" s="181" t="s">
        <v>6</v>
      </c>
      <c r="C51" s="182" t="s">
        <v>114</v>
      </c>
      <c r="D51" s="203">
        <v>161.22</v>
      </c>
      <c r="E51" s="221">
        <v>124.32</v>
      </c>
    </row>
    <row r="52" spans="2:5">
      <c r="B52" s="181" t="s">
        <v>8</v>
      </c>
      <c r="C52" s="182" t="s">
        <v>115</v>
      </c>
      <c r="D52" s="203">
        <v>191.02</v>
      </c>
      <c r="E52" s="221">
        <v>217.48</v>
      </c>
    </row>
    <row r="53" spans="2:5" ht="14.25" customHeight="1" thickBot="1">
      <c r="B53" s="185" t="s">
        <v>9</v>
      </c>
      <c r="C53" s="186" t="s">
        <v>41</v>
      </c>
      <c r="D53" s="205">
        <v>187.7</v>
      </c>
      <c r="E53" s="333">
        <v>154.88999999999999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84505.1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84505.1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84505.1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84505.1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F81"/>
  <sheetViews>
    <sheetView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33"/>
      <c r="C4" s="133"/>
      <c r="D4" s="133"/>
      <c r="E4" s="133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176</v>
      </c>
      <c r="C6" s="351"/>
      <c r="D6" s="351"/>
      <c r="E6" s="351"/>
    </row>
    <row r="7" spans="2:5" ht="14.25">
      <c r="B7" s="132"/>
      <c r="C7" s="132"/>
      <c r="D7" s="132"/>
      <c r="E7" s="132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4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64221.560000000005</v>
      </c>
      <c r="E11" s="229">
        <f>SUM(E12:E14)</f>
        <v>49454.38</v>
      </c>
    </row>
    <row r="12" spans="2:5">
      <c r="B12" s="170" t="s">
        <v>4</v>
      </c>
      <c r="C12" s="171" t="s">
        <v>5</v>
      </c>
      <c r="D12" s="245">
        <v>64221.560000000005</v>
      </c>
      <c r="E12" s="251">
        <v>49454.38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64221.560000000005</v>
      </c>
      <c r="E21" s="147">
        <f>E11-E17</f>
        <v>49454.38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50394.42</v>
      </c>
      <c r="E26" s="219">
        <f>D21</f>
        <v>64221.560000000005</v>
      </c>
    </row>
    <row r="27" spans="2:6">
      <c r="B27" s="9" t="s">
        <v>17</v>
      </c>
      <c r="C27" s="10" t="s">
        <v>111</v>
      </c>
      <c r="D27" s="198">
        <v>854.90999999999985</v>
      </c>
      <c r="E27" s="292">
        <f>E28-E32</f>
        <v>-5319.6599999999962</v>
      </c>
      <c r="F27" s="71"/>
    </row>
    <row r="28" spans="2:6">
      <c r="B28" s="9" t="s">
        <v>18</v>
      </c>
      <c r="C28" s="10" t="s">
        <v>19</v>
      </c>
      <c r="D28" s="198">
        <v>8615.33</v>
      </c>
      <c r="E28" s="293">
        <f>E29+E31</f>
        <v>36090.65</v>
      </c>
      <c r="F28" s="71"/>
    </row>
    <row r="29" spans="2:6">
      <c r="B29" s="178" t="s">
        <v>4</v>
      </c>
      <c r="C29" s="171" t="s">
        <v>20</v>
      </c>
      <c r="D29" s="199">
        <v>4842.5200000000004</v>
      </c>
      <c r="E29" s="295">
        <v>1675.97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3772.81</v>
      </c>
      <c r="E31" s="295">
        <v>34414.68</v>
      </c>
      <c r="F31" s="71"/>
    </row>
    <row r="32" spans="2:6">
      <c r="B32" s="91" t="s">
        <v>23</v>
      </c>
      <c r="C32" s="11" t="s">
        <v>24</v>
      </c>
      <c r="D32" s="198">
        <v>7760.42</v>
      </c>
      <c r="E32" s="293">
        <f>SUM(E33:E39)</f>
        <v>41410.31</v>
      </c>
      <c r="F32" s="71"/>
    </row>
    <row r="33" spans="2:6">
      <c r="B33" s="178" t="s">
        <v>4</v>
      </c>
      <c r="C33" s="171" t="s">
        <v>25</v>
      </c>
      <c r="D33" s="199">
        <v>5887.33</v>
      </c>
      <c r="E33" s="295">
        <f>316.13+132.32</f>
        <v>448.45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219.46</v>
      </c>
      <c r="E35" s="295">
        <v>181.64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256.74</v>
      </c>
      <c r="E37" s="295">
        <v>289.8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1396.89</v>
      </c>
      <c r="E39" s="297">
        <v>40490.42</v>
      </c>
      <c r="F39" s="71"/>
    </row>
    <row r="40" spans="2:6" ht="13.5" thickBot="1">
      <c r="B40" s="96" t="s">
        <v>35</v>
      </c>
      <c r="C40" s="97" t="s">
        <v>36</v>
      </c>
      <c r="D40" s="201">
        <v>6255.4</v>
      </c>
      <c r="E40" s="306">
        <v>-9447.52</v>
      </c>
    </row>
    <row r="41" spans="2:6" ht="13.5" thickBot="1">
      <c r="B41" s="98" t="s">
        <v>37</v>
      </c>
      <c r="C41" s="99" t="s">
        <v>38</v>
      </c>
      <c r="D41" s="202">
        <v>57504.73</v>
      </c>
      <c r="E41" s="147">
        <f>E26+E27+E40</f>
        <v>49454.380000000005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328">
        <v>659.18140000000005</v>
      </c>
      <c r="E47" s="148">
        <v>687.81790000000001</v>
      </c>
    </row>
    <row r="48" spans="2:6">
      <c r="B48" s="183" t="s">
        <v>6</v>
      </c>
      <c r="C48" s="184" t="s">
        <v>41</v>
      </c>
      <c r="D48" s="328">
        <v>667.88304297328693</v>
      </c>
      <c r="E48" s="249">
        <v>614.1875</v>
      </c>
    </row>
    <row r="49" spans="2:5">
      <c r="B49" s="119" t="s">
        <v>23</v>
      </c>
      <c r="C49" s="123" t="s">
        <v>113</v>
      </c>
      <c r="D49" s="279"/>
      <c r="E49" s="224"/>
    </row>
    <row r="50" spans="2:5">
      <c r="B50" s="181" t="s">
        <v>4</v>
      </c>
      <c r="C50" s="182" t="s">
        <v>40</v>
      </c>
      <c r="D50" s="328">
        <v>76.45</v>
      </c>
      <c r="E50" s="224">
        <v>93.37</v>
      </c>
    </row>
    <row r="51" spans="2:5">
      <c r="B51" s="181" t="s">
        <v>6</v>
      </c>
      <c r="C51" s="182" t="s">
        <v>114</v>
      </c>
      <c r="D51" s="328">
        <v>76.45</v>
      </c>
      <c r="E51" s="338">
        <v>65.849999999999994</v>
      </c>
    </row>
    <row r="52" spans="2:5">
      <c r="B52" s="181" t="s">
        <v>8</v>
      </c>
      <c r="C52" s="182" t="s">
        <v>115</v>
      </c>
      <c r="D52" s="328">
        <v>87.88</v>
      </c>
      <c r="E52" s="338">
        <v>96.4</v>
      </c>
    </row>
    <row r="53" spans="2:5" ht="13.5" customHeight="1" thickBot="1">
      <c r="B53" s="185" t="s">
        <v>9</v>
      </c>
      <c r="C53" s="186" t="s">
        <v>41</v>
      </c>
      <c r="D53" s="205">
        <v>86.1</v>
      </c>
      <c r="E53" s="334">
        <v>80.52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49454.38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49454.38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49454.38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49454.38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88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40331274.960000001</v>
      </c>
      <c r="E11" s="229">
        <f>SUM(E12:E14)</f>
        <v>39427897.609999992</v>
      </c>
    </row>
    <row r="12" spans="2:7">
      <c r="B12" s="105" t="s">
        <v>4</v>
      </c>
      <c r="C12" s="6" t="s">
        <v>5</v>
      </c>
      <c r="D12" s="245">
        <v>40169274.68</v>
      </c>
      <c r="E12" s="251">
        <f>39398438.57+226371.41-301082.99</f>
        <v>39323726.989999995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>
        <v>162000.28</v>
      </c>
      <c r="E14" s="252">
        <f>E15</f>
        <v>104170.62</v>
      </c>
    </row>
    <row r="15" spans="2:7">
      <c r="B15" s="105" t="s">
        <v>106</v>
      </c>
      <c r="C15" s="68" t="s">
        <v>11</v>
      </c>
      <c r="D15" s="241">
        <v>162000.28</v>
      </c>
      <c r="E15" s="252">
        <v>104170.62</v>
      </c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83851.72</v>
      </c>
      <c r="E17" s="254">
        <f>E18</f>
        <v>75551.960000000006</v>
      </c>
    </row>
    <row r="18" spans="2:6">
      <c r="B18" s="105" t="s">
        <v>4</v>
      </c>
      <c r="C18" s="6" t="s">
        <v>11</v>
      </c>
      <c r="D18" s="243">
        <v>83851.72</v>
      </c>
      <c r="E18" s="253">
        <v>75551.960000000006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40247423.240000002</v>
      </c>
      <c r="E21" s="147">
        <f>E11-E17</f>
        <v>39352345.649999991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6.5" customHeight="1" thickBot="1">
      <c r="B24" s="352" t="s">
        <v>105</v>
      </c>
      <c r="C24" s="362"/>
      <c r="D24" s="362"/>
      <c r="E24" s="362"/>
    </row>
    <row r="25" spans="2:6" ht="13.5" thickBot="1">
      <c r="B25" s="85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41204074.690000005</v>
      </c>
      <c r="E26" s="219">
        <f>D21</f>
        <v>40247423.240000002</v>
      </c>
    </row>
    <row r="27" spans="2:6">
      <c r="B27" s="9" t="s">
        <v>17</v>
      </c>
      <c r="C27" s="10" t="s">
        <v>111</v>
      </c>
      <c r="D27" s="198">
        <v>8659.4899999997579</v>
      </c>
      <c r="E27" s="292">
        <f>E28-E32</f>
        <v>3498.8900000001304</v>
      </c>
      <c r="F27" s="71"/>
    </row>
    <row r="28" spans="2:6">
      <c r="B28" s="9" t="s">
        <v>18</v>
      </c>
      <c r="C28" s="10" t="s">
        <v>19</v>
      </c>
      <c r="D28" s="198">
        <v>3432234.5799999996</v>
      </c>
      <c r="E28" s="293">
        <v>3178205.97</v>
      </c>
      <c r="F28" s="71"/>
    </row>
    <row r="29" spans="2:6">
      <c r="B29" s="103" t="s">
        <v>4</v>
      </c>
      <c r="C29" s="6" t="s">
        <v>20</v>
      </c>
      <c r="D29" s="199">
        <v>3312381.4099999997</v>
      </c>
      <c r="E29" s="295">
        <v>3003676.59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119853.17</v>
      </c>
      <c r="E31" s="295">
        <v>174529.38</v>
      </c>
      <c r="F31" s="71"/>
    </row>
    <row r="32" spans="2:6">
      <c r="B32" s="91" t="s">
        <v>23</v>
      </c>
      <c r="C32" s="11" t="s">
        <v>24</v>
      </c>
      <c r="D32" s="198">
        <v>3423575.09</v>
      </c>
      <c r="E32" s="293">
        <f>SUM(E33:E39)</f>
        <v>3174707.08</v>
      </c>
      <c r="F32" s="71"/>
    </row>
    <row r="33" spans="2:6">
      <c r="B33" s="103" t="s">
        <v>4</v>
      </c>
      <c r="C33" s="6" t="s">
        <v>25</v>
      </c>
      <c r="D33" s="199">
        <v>2484702.63</v>
      </c>
      <c r="E33" s="295">
        <f>1783106.12-6083.79</f>
        <v>1777022.33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704490.42</v>
      </c>
      <c r="E35" s="295">
        <v>663183.72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234382.04</v>
      </c>
      <c r="E39" s="297">
        <v>734501.03</v>
      </c>
      <c r="F39" s="71"/>
    </row>
    <row r="40" spans="2:6" ht="13.5" thickBot="1">
      <c r="B40" s="96" t="s">
        <v>35</v>
      </c>
      <c r="C40" s="97" t="s">
        <v>36</v>
      </c>
      <c r="D40" s="201">
        <v>1467569.77</v>
      </c>
      <c r="E40" s="306">
        <v>-898576.48</v>
      </c>
    </row>
    <row r="41" spans="2:6" ht="13.5" thickBot="1">
      <c r="B41" s="98" t="s">
        <v>37</v>
      </c>
      <c r="C41" s="99" t="s">
        <v>38</v>
      </c>
      <c r="D41" s="202">
        <v>42680303.95000001</v>
      </c>
      <c r="E41" s="147">
        <f>E26+E27+E40</f>
        <v>39352345.650000006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5.75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4267730.58715</v>
      </c>
      <c r="E47" s="73">
        <v>4185254.5138000003</v>
      </c>
    </row>
    <row r="48" spans="2:6">
      <c r="B48" s="122" t="s">
        <v>6</v>
      </c>
      <c r="C48" s="22" t="s">
        <v>41</v>
      </c>
      <c r="D48" s="203">
        <v>4272944.280923062</v>
      </c>
      <c r="E48" s="316">
        <v>4183585.7086</v>
      </c>
    </row>
    <row r="49" spans="2:5">
      <c r="B49" s="119" t="s">
        <v>23</v>
      </c>
      <c r="C49" s="123" t="s">
        <v>113</v>
      </c>
      <c r="D49" s="277"/>
      <c r="E49" s="274"/>
    </row>
    <row r="50" spans="2:5">
      <c r="B50" s="101" t="s">
        <v>4</v>
      </c>
      <c r="C50" s="15" t="s">
        <v>40</v>
      </c>
      <c r="D50" s="203">
        <v>9.6547975202813507</v>
      </c>
      <c r="E50" s="73">
        <v>9.6165000000000003</v>
      </c>
    </row>
    <row r="51" spans="2:5">
      <c r="B51" s="101" t="s">
        <v>6</v>
      </c>
      <c r="C51" s="15" t="s">
        <v>114</v>
      </c>
      <c r="D51" s="203">
        <v>9.4557000000000002</v>
      </c>
      <c r="E51" s="74">
        <v>6.5929000000000002</v>
      </c>
    </row>
    <row r="52" spans="2:5" ht="12.75" customHeight="1">
      <c r="B52" s="101" t="s">
        <v>8</v>
      </c>
      <c r="C52" s="15" t="s">
        <v>115</v>
      </c>
      <c r="D52" s="203">
        <v>10.498799999999999</v>
      </c>
      <c r="E52" s="74">
        <v>9.9838000000000005</v>
      </c>
    </row>
    <row r="53" spans="2:5" ht="13.5" thickBot="1">
      <c r="B53" s="102" t="s">
        <v>9</v>
      </c>
      <c r="C53" s="17" t="s">
        <v>41</v>
      </c>
      <c r="D53" s="205">
        <v>9.9885000000000002</v>
      </c>
      <c r="E53" s="309">
        <v>9.4063999999999997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39323726.989999995</v>
      </c>
      <c r="E58" s="31">
        <f>D58/E21</f>
        <v>0.99927275847151453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f>39398438.57-301082.99</f>
        <v>39097355.579999998</v>
      </c>
      <c r="E64" s="80">
        <f>D64/E21</f>
        <v>0.99352033364750669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226371.41</v>
      </c>
      <c r="E69" s="78">
        <f>D69/E21</f>
        <v>5.7524248240079191E-3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104170.62</v>
      </c>
      <c r="E72" s="118">
        <f>D72/E21</f>
        <v>2.64712606782056E-3</v>
      </c>
    </row>
    <row r="73" spans="2:5">
      <c r="B73" s="23" t="s">
        <v>62</v>
      </c>
      <c r="C73" s="24" t="s">
        <v>65</v>
      </c>
      <c r="D73" s="25">
        <f>E17</f>
        <v>75551.960000000006</v>
      </c>
      <c r="E73" s="26">
        <f>D73/E21</f>
        <v>1.9198845393349512E-3</v>
      </c>
    </row>
    <row r="74" spans="2:5">
      <c r="B74" s="119" t="s">
        <v>64</v>
      </c>
      <c r="C74" s="120" t="s">
        <v>66</v>
      </c>
      <c r="D74" s="121">
        <f>D58+D71+D72-D73</f>
        <v>39352345.649999991</v>
      </c>
      <c r="E74" s="66">
        <f>E58+E72-E73</f>
        <v>1.0000000000000002</v>
      </c>
    </row>
    <row r="75" spans="2:5">
      <c r="B75" s="14" t="s">
        <v>4</v>
      </c>
      <c r="C75" s="15" t="s">
        <v>67</v>
      </c>
      <c r="D75" s="77">
        <f>D74</f>
        <v>39352345.649999991</v>
      </c>
      <c r="E75" s="78">
        <f>E74</f>
        <v>1.0000000000000002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3"/>
      <c r="C4" s="133"/>
      <c r="D4" s="133"/>
      <c r="E4" s="13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177</v>
      </c>
      <c r="C6" s="351"/>
      <c r="D6" s="351"/>
      <c r="E6" s="351"/>
    </row>
    <row r="7" spans="2:7" ht="14.25">
      <c r="B7" s="132"/>
      <c r="C7" s="132"/>
      <c r="D7" s="132"/>
      <c r="E7" s="13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130247.85</v>
      </c>
      <c r="E11" s="229">
        <f>SUM(E12:E14)</f>
        <v>213043.03</v>
      </c>
    </row>
    <row r="12" spans="2:7">
      <c r="B12" s="105" t="s">
        <v>4</v>
      </c>
      <c r="C12" s="6" t="s">
        <v>5</v>
      </c>
      <c r="D12" s="245">
        <v>130247.85</v>
      </c>
      <c r="E12" s="251">
        <v>213043.03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130247.85</v>
      </c>
      <c r="E21" s="147">
        <f>E11-E17</f>
        <v>213043.03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134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125358.98</v>
      </c>
      <c r="E26" s="219">
        <f>D21</f>
        <v>130247.85</v>
      </c>
    </row>
    <row r="27" spans="2:6">
      <c r="B27" s="9" t="s">
        <v>17</v>
      </c>
      <c r="C27" s="10" t="s">
        <v>111</v>
      </c>
      <c r="D27" s="198">
        <v>-36866.01</v>
      </c>
      <c r="E27" s="292">
        <f>E28-E32</f>
        <v>56037.31</v>
      </c>
      <c r="F27" s="71"/>
    </row>
    <row r="28" spans="2:6">
      <c r="B28" s="9" t="s">
        <v>18</v>
      </c>
      <c r="C28" s="10" t="s">
        <v>19</v>
      </c>
      <c r="D28" s="198">
        <v>54845.62</v>
      </c>
      <c r="E28" s="293">
        <f>E29+E31</f>
        <v>305021.37</v>
      </c>
      <c r="F28" s="71"/>
    </row>
    <row r="29" spans="2:6">
      <c r="B29" s="103" t="s">
        <v>4</v>
      </c>
      <c r="C29" s="6" t="s">
        <v>20</v>
      </c>
      <c r="D29" s="199">
        <v>4795.87</v>
      </c>
      <c r="E29" s="295">
        <v>9390.31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50049.75</v>
      </c>
      <c r="E31" s="295">
        <v>295631.06</v>
      </c>
      <c r="F31" s="71"/>
    </row>
    <row r="32" spans="2:6">
      <c r="B32" s="91" t="s">
        <v>23</v>
      </c>
      <c r="C32" s="11" t="s">
        <v>24</v>
      </c>
      <c r="D32" s="198">
        <v>91711.63</v>
      </c>
      <c r="E32" s="293">
        <f>SUM(E33:E39)</f>
        <v>248984.06</v>
      </c>
      <c r="F32" s="71"/>
    </row>
    <row r="33" spans="2:6">
      <c r="B33" s="103" t="s">
        <v>4</v>
      </c>
      <c r="C33" s="6" t="s">
        <v>25</v>
      </c>
      <c r="D33" s="199">
        <v>43987.72</v>
      </c>
      <c r="E33" s="295">
        <f>1015.27+188.01</f>
        <v>1203.28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560.04</v>
      </c>
      <c r="E35" s="295">
        <v>611.27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6243.22</v>
      </c>
      <c r="E37" s="295">
        <v>1139.45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40920.65</v>
      </c>
      <c r="E39" s="297">
        <v>246030.06</v>
      </c>
      <c r="F39" s="71"/>
    </row>
    <row r="40" spans="2:6" ht="13.5" thickBot="1">
      <c r="B40" s="96" t="s">
        <v>35</v>
      </c>
      <c r="C40" s="97" t="s">
        <v>36</v>
      </c>
      <c r="D40" s="201">
        <v>6639.34</v>
      </c>
      <c r="E40" s="306">
        <v>26757.87</v>
      </c>
    </row>
    <row r="41" spans="2:6" ht="13.5" thickBot="1">
      <c r="B41" s="98" t="s">
        <v>37</v>
      </c>
      <c r="C41" s="99" t="s">
        <v>38</v>
      </c>
      <c r="D41" s="202">
        <v>95132.31</v>
      </c>
      <c r="E41" s="147">
        <f>E26+E27+E40</f>
        <v>213043.03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34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925.09024999999997</v>
      </c>
      <c r="E47" s="148">
        <v>843.30110000000002</v>
      </c>
    </row>
    <row r="48" spans="2:6">
      <c r="B48" s="122" t="s">
        <v>6</v>
      </c>
      <c r="C48" s="22" t="s">
        <v>41</v>
      </c>
      <c r="D48" s="203">
        <v>649.63336520076484</v>
      </c>
      <c r="E48" s="327">
        <v>1209.3036999999999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01" t="s">
        <v>4</v>
      </c>
      <c r="C50" s="15" t="s">
        <v>40</v>
      </c>
      <c r="D50" s="203">
        <v>135.51</v>
      </c>
      <c r="E50" s="220">
        <v>154.44999999999999</v>
      </c>
    </row>
    <row r="51" spans="2:5">
      <c r="B51" s="101" t="s">
        <v>6</v>
      </c>
      <c r="C51" s="15" t="s">
        <v>114</v>
      </c>
      <c r="D51" s="203">
        <v>132.84</v>
      </c>
      <c r="E51" s="220">
        <v>146.63</v>
      </c>
    </row>
    <row r="52" spans="2:5">
      <c r="B52" s="101" t="s">
        <v>8</v>
      </c>
      <c r="C52" s="15" t="s">
        <v>115</v>
      </c>
      <c r="D52" s="203">
        <v>148.25</v>
      </c>
      <c r="E52" s="221">
        <v>176.17</v>
      </c>
    </row>
    <row r="53" spans="2:5" ht="12.75" customHeight="1" thickBot="1">
      <c r="B53" s="102" t="s">
        <v>9</v>
      </c>
      <c r="C53" s="17" t="s">
        <v>41</v>
      </c>
      <c r="D53" s="205">
        <v>146.44</v>
      </c>
      <c r="E53" s="333">
        <v>176.17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213043.03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213043.03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213043.03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213043.03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G81"/>
  <sheetViews>
    <sheetView zoomScale="80" zoomScaleNormal="80" workbookViewId="0">
      <selection activeCell="G13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3"/>
      <c r="C4" s="133"/>
      <c r="D4" s="133"/>
      <c r="E4" s="13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243</v>
      </c>
      <c r="C6" s="351"/>
      <c r="D6" s="351"/>
      <c r="E6" s="351"/>
    </row>
    <row r="7" spans="2:7" ht="14.25">
      <c r="B7" s="132"/>
      <c r="C7" s="132"/>
      <c r="D7" s="132"/>
      <c r="E7" s="13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77206.5</v>
      </c>
      <c r="E11" s="229">
        <f>SUM(E12:E14)</f>
        <v>78488.44</v>
      </c>
    </row>
    <row r="12" spans="2:7">
      <c r="B12" s="105" t="s">
        <v>4</v>
      </c>
      <c r="C12" s="6" t="s">
        <v>5</v>
      </c>
      <c r="D12" s="245">
        <v>77206.5</v>
      </c>
      <c r="E12" s="251">
        <v>78488.44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77206.5</v>
      </c>
      <c r="E21" s="147">
        <f>E11-E17</f>
        <v>78488.44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134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86926.41</v>
      </c>
      <c r="E26" s="219">
        <f>D21</f>
        <v>77206.5</v>
      </c>
    </row>
    <row r="27" spans="2:6">
      <c r="B27" s="9" t="s">
        <v>17</v>
      </c>
      <c r="C27" s="10" t="s">
        <v>111</v>
      </c>
      <c r="D27" s="198">
        <v>-12441.000000000002</v>
      </c>
      <c r="E27" s="292">
        <f>E28-E32</f>
        <v>1114.8599999999997</v>
      </c>
      <c r="F27" s="71"/>
    </row>
    <row r="28" spans="2:6">
      <c r="B28" s="9" t="s">
        <v>18</v>
      </c>
      <c r="C28" s="10" t="s">
        <v>19</v>
      </c>
      <c r="D28" s="198">
        <v>2148.08</v>
      </c>
      <c r="E28" s="293">
        <v>4666.37</v>
      </c>
      <c r="F28" s="71"/>
    </row>
    <row r="29" spans="2:6">
      <c r="B29" s="103" t="s">
        <v>4</v>
      </c>
      <c r="C29" s="6" t="s">
        <v>20</v>
      </c>
      <c r="D29" s="199">
        <v>1887.08</v>
      </c>
      <c r="E29" s="295">
        <v>1757.31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261</v>
      </c>
      <c r="E31" s="295">
        <v>2909.06</v>
      </c>
      <c r="F31" s="71"/>
    </row>
    <row r="32" spans="2:6">
      <c r="B32" s="91" t="s">
        <v>23</v>
      </c>
      <c r="C32" s="11" t="s">
        <v>24</v>
      </c>
      <c r="D32" s="198">
        <v>14589.080000000002</v>
      </c>
      <c r="E32" s="293">
        <v>3551.51</v>
      </c>
      <c r="F32" s="71"/>
    </row>
    <row r="33" spans="2:6">
      <c r="B33" s="103" t="s">
        <v>4</v>
      </c>
      <c r="C33" s="6" t="s">
        <v>25</v>
      </c>
      <c r="D33" s="199">
        <v>12943.69</v>
      </c>
      <c r="E33" s="295"/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286.7</v>
      </c>
      <c r="E35" s="295">
        <v>259.17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1284.45</v>
      </c>
      <c r="E37" s="295">
        <v>384.31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74.239999999999995</v>
      </c>
      <c r="E39" s="297">
        <v>2908.03</v>
      </c>
      <c r="F39" s="71"/>
    </row>
    <row r="40" spans="2:6" ht="13.5" thickBot="1">
      <c r="B40" s="96" t="s">
        <v>35</v>
      </c>
      <c r="C40" s="97" t="s">
        <v>36</v>
      </c>
      <c r="D40" s="201">
        <v>-1.36</v>
      </c>
      <c r="E40" s="306">
        <v>167.08</v>
      </c>
    </row>
    <row r="41" spans="2:6" ht="13.5" thickBot="1">
      <c r="B41" s="98" t="s">
        <v>37</v>
      </c>
      <c r="C41" s="99" t="s">
        <v>38</v>
      </c>
      <c r="D41" s="202">
        <v>74484.05</v>
      </c>
      <c r="E41" s="147">
        <f>E26+E27+E40</f>
        <v>78488.44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34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639.68219999999997</v>
      </c>
      <c r="E47" s="148">
        <v>563.71569999999997</v>
      </c>
    </row>
    <row r="48" spans="2:6">
      <c r="B48" s="122" t="s">
        <v>6</v>
      </c>
      <c r="C48" s="22" t="s">
        <v>41</v>
      </c>
      <c r="D48" s="203">
        <v>547.79769999999996</v>
      </c>
      <c r="E48" s="327">
        <v>571.86479999999995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01" t="s">
        <v>4</v>
      </c>
      <c r="C50" s="15" t="s">
        <v>40</v>
      </c>
      <c r="D50" s="203">
        <v>135.88999999999999</v>
      </c>
      <c r="E50" s="220">
        <v>136.96</v>
      </c>
    </row>
    <row r="51" spans="2:5">
      <c r="B51" s="101" t="s">
        <v>6</v>
      </c>
      <c r="C51" s="15" t="s">
        <v>114</v>
      </c>
      <c r="D51" s="203">
        <v>135.12</v>
      </c>
      <c r="E51" s="221">
        <v>135.22</v>
      </c>
    </row>
    <row r="52" spans="2:5">
      <c r="B52" s="101" t="s">
        <v>8</v>
      </c>
      <c r="C52" s="15" t="s">
        <v>115</v>
      </c>
      <c r="D52" s="203">
        <v>136</v>
      </c>
      <c r="E52" s="221">
        <v>137.56</v>
      </c>
    </row>
    <row r="53" spans="2:5" ht="13.5" customHeight="1" thickBot="1">
      <c r="B53" s="102" t="s">
        <v>9</v>
      </c>
      <c r="C53" s="17" t="s">
        <v>41</v>
      </c>
      <c r="D53" s="205">
        <v>135.97</v>
      </c>
      <c r="E53" s="333">
        <v>137.25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78488.44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78488.44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78488.44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78488.44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3"/>
      <c r="C4" s="133"/>
      <c r="D4" s="133"/>
      <c r="E4" s="13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178</v>
      </c>
      <c r="C6" s="351"/>
      <c r="D6" s="351"/>
      <c r="E6" s="351"/>
    </row>
    <row r="7" spans="2:7" ht="14.25">
      <c r="B7" s="132"/>
      <c r="C7" s="132"/>
      <c r="D7" s="132"/>
      <c r="E7" s="13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177841.15</v>
      </c>
      <c r="E11" s="229">
        <f>SUM(E12:E14)</f>
        <v>171579.51999999999</v>
      </c>
    </row>
    <row r="12" spans="2:7">
      <c r="B12" s="105" t="s">
        <v>4</v>
      </c>
      <c r="C12" s="6" t="s">
        <v>5</v>
      </c>
      <c r="D12" s="245">
        <v>177841.15</v>
      </c>
      <c r="E12" s="251">
        <v>171579.51999999999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177841.15</v>
      </c>
      <c r="E21" s="147">
        <f>E11-E17</f>
        <v>171579.51999999999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134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153386.26999999999</v>
      </c>
      <c r="E26" s="219">
        <f>D21</f>
        <v>177841.15</v>
      </c>
    </row>
    <row r="27" spans="2:6">
      <c r="B27" s="9" t="s">
        <v>17</v>
      </c>
      <c r="C27" s="10" t="s">
        <v>111</v>
      </c>
      <c r="D27" s="198">
        <v>32345.96</v>
      </c>
      <c r="E27" s="292">
        <f>E28-E32</f>
        <v>-3110.3800000000047</v>
      </c>
      <c r="F27" s="71"/>
    </row>
    <row r="28" spans="2:6">
      <c r="B28" s="9" t="s">
        <v>18</v>
      </c>
      <c r="C28" s="10" t="s">
        <v>19</v>
      </c>
      <c r="D28" s="198">
        <v>39373.96</v>
      </c>
      <c r="E28" s="293">
        <v>16872.559999999998</v>
      </c>
      <c r="F28" s="71"/>
    </row>
    <row r="29" spans="2:6">
      <c r="B29" s="103" t="s">
        <v>4</v>
      </c>
      <c r="C29" s="6" t="s">
        <v>20</v>
      </c>
      <c r="D29" s="199">
        <v>9060.86</v>
      </c>
      <c r="E29" s="295">
        <v>9787.31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30313.1</v>
      </c>
      <c r="E31" s="295">
        <v>7085.25</v>
      </c>
      <c r="F31" s="71"/>
    </row>
    <row r="32" spans="2:6">
      <c r="B32" s="91" t="s">
        <v>23</v>
      </c>
      <c r="C32" s="11" t="s">
        <v>24</v>
      </c>
      <c r="D32" s="198">
        <v>7027.9999999999991</v>
      </c>
      <c r="E32" s="293">
        <f>SUM(E33:E39)</f>
        <v>19982.940000000002</v>
      </c>
      <c r="F32" s="71"/>
    </row>
    <row r="33" spans="2:6">
      <c r="B33" s="103" t="s">
        <v>4</v>
      </c>
      <c r="C33" s="6" t="s">
        <v>25</v>
      </c>
      <c r="D33" s="199">
        <v>5108.28</v>
      </c>
      <c r="E33" s="295">
        <f>8198.99+1525.85</f>
        <v>9724.84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928.66</v>
      </c>
      <c r="E35" s="295">
        <v>1022.58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>
        <v>711.2</v>
      </c>
      <c r="E37" s="295">
        <v>832.77</v>
      </c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279.86</v>
      </c>
      <c r="E39" s="297">
        <v>8402.75</v>
      </c>
      <c r="F39" s="71"/>
    </row>
    <row r="40" spans="2:6" ht="13.5" thickBot="1">
      <c r="B40" s="96" t="s">
        <v>35</v>
      </c>
      <c r="C40" s="97" t="s">
        <v>36</v>
      </c>
      <c r="D40" s="201">
        <v>9684.57</v>
      </c>
      <c r="E40" s="306">
        <v>-3151.25</v>
      </c>
    </row>
    <row r="41" spans="2:6" ht="13.5" thickBot="1">
      <c r="B41" s="98" t="s">
        <v>37</v>
      </c>
      <c r="C41" s="99" t="s">
        <v>38</v>
      </c>
      <c r="D41" s="202">
        <v>195416.8</v>
      </c>
      <c r="E41" s="147">
        <f>E26+E27+E40</f>
        <v>171579.51999999999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34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698.76666</v>
      </c>
      <c r="E47" s="148">
        <v>726.7127999999999</v>
      </c>
    </row>
    <row r="48" spans="2:6">
      <c r="B48" s="122" t="s">
        <v>6</v>
      </c>
      <c r="C48" s="22" t="s">
        <v>41</v>
      </c>
      <c r="D48" s="203">
        <v>832.55282890252215</v>
      </c>
      <c r="E48" s="327">
        <v>717.0059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01" t="s">
        <v>4</v>
      </c>
      <c r="C50" s="15" t="s">
        <v>40</v>
      </c>
      <c r="D50" s="203">
        <v>219.51</v>
      </c>
      <c r="E50" s="220">
        <v>244.72</v>
      </c>
    </row>
    <row r="51" spans="2:5">
      <c r="B51" s="101" t="s">
        <v>6</v>
      </c>
      <c r="C51" s="15" t="s">
        <v>114</v>
      </c>
      <c r="D51" s="203">
        <v>216.37</v>
      </c>
      <c r="E51" s="221">
        <v>199.11</v>
      </c>
    </row>
    <row r="52" spans="2:5">
      <c r="B52" s="101" t="s">
        <v>8</v>
      </c>
      <c r="C52" s="15" t="s">
        <v>115</v>
      </c>
      <c r="D52" s="203">
        <v>247.22</v>
      </c>
      <c r="E52" s="221">
        <v>254.65</v>
      </c>
    </row>
    <row r="53" spans="2:5" ht="12.75" customHeight="1" thickBot="1">
      <c r="B53" s="102" t="s">
        <v>9</v>
      </c>
      <c r="C53" s="17" t="s">
        <v>41</v>
      </c>
      <c r="D53" s="205">
        <v>234.72</v>
      </c>
      <c r="E53" s="333">
        <v>239.3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171579.51999999999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171579.51999999999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171579.51999999999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171579.51999999999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14.25">
      <c r="B5" s="350" t="s">
        <v>1</v>
      </c>
      <c r="C5" s="350"/>
      <c r="D5" s="350"/>
      <c r="E5" s="350"/>
    </row>
    <row r="6" spans="2:7" ht="14.25">
      <c r="B6" s="351" t="s">
        <v>179</v>
      </c>
      <c r="C6" s="351"/>
      <c r="D6" s="351"/>
      <c r="E6" s="351"/>
    </row>
    <row r="7" spans="2:7" ht="14.25">
      <c r="B7" s="161"/>
      <c r="C7" s="161"/>
      <c r="D7" s="161"/>
      <c r="E7" s="161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62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9889.2000000000007</v>
      </c>
      <c r="E11" s="229">
        <f>SUM(E12:E14)</f>
        <v>9295.2900000000009</v>
      </c>
    </row>
    <row r="12" spans="2:7">
      <c r="B12" s="170" t="s">
        <v>4</v>
      </c>
      <c r="C12" s="171" t="s">
        <v>5</v>
      </c>
      <c r="D12" s="245">
        <v>9889.2000000000007</v>
      </c>
      <c r="E12" s="251">
        <v>9295.2900000000009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9889.2000000000007</v>
      </c>
      <c r="E21" s="147">
        <f>E11-E17</f>
        <v>9295.2900000000009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9791.7199999999993</v>
      </c>
      <c r="E26" s="219">
        <f>D21</f>
        <v>9889.2000000000007</v>
      </c>
    </row>
    <row r="27" spans="2:6">
      <c r="B27" s="9" t="s">
        <v>17</v>
      </c>
      <c r="C27" s="10" t="s">
        <v>111</v>
      </c>
      <c r="D27" s="198">
        <v>-118.60000000000001</v>
      </c>
      <c r="E27" s="292">
        <v>-112.44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118.60000000000001</v>
      </c>
      <c r="E32" s="293">
        <v>112.44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34.950000000000003</v>
      </c>
      <c r="E35" s="295">
        <v>33.72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83.65</v>
      </c>
      <c r="E37" s="295">
        <v>78.72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213.53</v>
      </c>
      <c r="E40" s="306">
        <v>-481.47</v>
      </c>
    </row>
    <row r="41" spans="2:6" ht="13.5" thickBot="1">
      <c r="B41" s="98" t="s">
        <v>37</v>
      </c>
      <c r="C41" s="99" t="s">
        <v>38</v>
      </c>
      <c r="D41" s="202">
        <v>9886.65</v>
      </c>
      <c r="E41" s="147">
        <f>E26+E27+E40</f>
        <v>9295.2900000000009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95.8</v>
      </c>
      <c r="E47" s="148">
        <v>93.550299999999993</v>
      </c>
    </row>
    <row r="48" spans="2:6">
      <c r="B48" s="183" t="s">
        <v>6</v>
      </c>
      <c r="C48" s="184" t="s">
        <v>41</v>
      </c>
      <c r="D48" s="203">
        <v>94.654399999999995</v>
      </c>
      <c r="E48" s="327">
        <v>92.416899999999998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81" t="s">
        <v>4</v>
      </c>
      <c r="C50" s="182" t="s">
        <v>40</v>
      </c>
      <c r="D50" s="203">
        <v>102.21</v>
      </c>
      <c r="E50" s="220">
        <v>105.71</v>
      </c>
    </row>
    <row r="51" spans="2:5">
      <c r="B51" s="181" t="s">
        <v>6</v>
      </c>
      <c r="C51" s="182" t="s">
        <v>114</v>
      </c>
      <c r="D51" s="203">
        <v>102.34</v>
      </c>
      <c r="E51" s="221">
        <v>94.43</v>
      </c>
    </row>
    <row r="52" spans="2:5">
      <c r="B52" s="181" t="s">
        <v>8</v>
      </c>
      <c r="C52" s="182" t="s">
        <v>115</v>
      </c>
      <c r="D52" s="203">
        <v>104.68</v>
      </c>
      <c r="E52" s="221">
        <v>106.38</v>
      </c>
    </row>
    <row r="53" spans="2:5" ht="13.5" thickBot="1">
      <c r="B53" s="185" t="s">
        <v>9</v>
      </c>
      <c r="C53" s="186" t="s">
        <v>41</v>
      </c>
      <c r="D53" s="205">
        <v>104.45</v>
      </c>
      <c r="E53" s="333">
        <v>100.58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9295.2900000000009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9295.2900000000009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9295.2900000000009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9295.2900000000009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6"/>
      <c r="C4" s="146"/>
      <c r="D4" s="146"/>
      <c r="E4" s="146"/>
    </row>
    <row r="5" spans="2:5" ht="14.25">
      <c r="B5" s="350" t="s">
        <v>1</v>
      </c>
      <c r="C5" s="350"/>
      <c r="D5" s="350"/>
      <c r="E5" s="350"/>
    </row>
    <row r="6" spans="2:5" ht="14.25">
      <c r="B6" s="351" t="s">
        <v>244</v>
      </c>
      <c r="C6" s="351"/>
      <c r="D6" s="351"/>
      <c r="E6" s="351"/>
    </row>
    <row r="7" spans="2:5" ht="14.25">
      <c r="B7" s="152"/>
      <c r="C7" s="152"/>
      <c r="D7" s="152"/>
      <c r="E7" s="152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53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93087.12</v>
      </c>
      <c r="E11" s="229">
        <f>SUM(E12:E14)</f>
        <v>92270.71</v>
      </c>
    </row>
    <row r="12" spans="2:5">
      <c r="B12" s="170" t="s">
        <v>4</v>
      </c>
      <c r="C12" s="171" t="s">
        <v>5</v>
      </c>
      <c r="D12" s="245">
        <v>93087.12</v>
      </c>
      <c r="E12" s="251">
        <v>92270.71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93087.12</v>
      </c>
      <c r="E21" s="147">
        <f>E11-E17</f>
        <v>92270.71</v>
      </c>
      <c r="F21" s="76"/>
    </row>
    <row r="22" spans="2:6">
      <c r="B22" s="3"/>
      <c r="C22" s="7"/>
      <c r="D22" s="8"/>
      <c r="E22" s="217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203272.61</v>
      </c>
      <c r="E26" s="219">
        <f>D21</f>
        <v>93087.12</v>
      </c>
    </row>
    <row r="27" spans="2:6">
      <c r="B27" s="9" t="s">
        <v>17</v>
      </c>
      <c r="C27" s="10" t="s">
        <v>111</v>
      </c>
      <c r="D27" s="198">
        <v>-69685.87999999999</v>
      </c>
      <c r="E27" s="292">
        <v>-967.06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69685.87999999999</v>
      </c>
      <c r="E32" s="293">
        <f>SUM(E33:E39)</f>
        <v>967.06</v>
      </c>
      <c r="F32" s="71"/>
    </row>
    <row r="33" spans="2:6">
      <c r="B33" s="178" t="s">
        <v>4</v>
      </c>
      <c r="C33" s="171" t="s">
        <v>25</v>
      </c>
      <c r="D33" s="199">
        <v>68221.06</v>
      </c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215.53</v>
      </c>
      <c r="E35" s="295">
        <v>183.4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1249.29</v>
      </c>
      <c r="E37" s="295">
        <v>783.66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1661.12</v>
      </c>
      <c r="E40" s="306">
        <v>150.65</v>
      </c>
    </row>
    <row r="41" spans="2:6" ht="13.5" thickBot="1">
      <c r="B41" s="98" t="s">
        <v>37</v>
      </c>
      <c r="C41" s="99" t="s">
        <v>38</v>
      </c>
      <c r="D41" s="202">
        <v>135247.84999999998</v>
      </c>
      <c r="E41" s="147">
        <f>E26+E27+E40</f>
        <v>92270.709999999992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800.85339999999997</v>
      </c>
      <c r="E47" s="148">
        <v>358.0274</v>
      </c>
    </row>
    <row r="48" spans="2:6">
      <c r="B48" s="183" t="s">
        <v>6</v>
      </c>
      <c r="C48" s="184" t="s">
        <v>41</v>
      </c>
      <c r="D48" s="203">
        <v>526.72760000000005</v>
      </c>
      <c r="E48" s="327">
        <v>354.2878</v>
      </c>
    </row>
    <row r="49" spans="2:5">
      <c r="B49" s="119" t="s">
        <v>23</v>
      </c>
      <c r="C49" s="123" t="s">
        <v>113</v>
      </c>
      <c r="D49" s="277"/>
      <c r="E49" s="220"/>
    </row>
    <row r="50" spans="2:5">
      <c r="B50" s="181" t="s">
        <v>4</v>
      </c>
      <c r="C50" s="182" t="s">
        <v>40</v>
      </c>
      <c r="D50" s="203">
        <v>253.82</v>
      </c>
      <c r="E50" s="220">
        <v>260</v>
      </c>
    </row>
    <row r="51" spans="2:5">
      <c r="B51" s="181" t="s">
        <v>6</v>
      </c>
      <c r="C51" s="182" t="s">
        <v>114</v>
      </c>
      <c r="D51" s="203">
        <v>253.6</v>
      </c>
      <c r="E51" s="221">
        <v>254.9</v>
      </c>
    </row>
    <row r="52" spans="2:5">
      <c r="B52" s="181" t="s">
        <v>8</v>
      </c>
      <c r="C52" s="182" t="s">
        <v>115</v>
      </c>
      <c r="D52" s="203">
        <v>256.84000000000003</v>
      </c>
      <c r="E52" s="221">
        <v>261.66000000000003</v>
      </c>
    </row>
    <row r="53" spans="2:5" ht="13.5" thickBot="1">
      <c r="B53" s="185" t="s">
        <v>9</v>
      </c>
      <c r="C53" s="186" t="s">
        <v>41</v>
      </c>
      <c r="D53" s="205">
        <v>256.77</v>
      </c>
      <c r="E53" s="333">
        <v>260.44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92270.71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92270.71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92270.71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92270.71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49" t="s">
        <v>0</v>
      </c>
      <c r="C2" s="349"/>
      <c r="D2" s="349"/>
      <c r="E2" s="349"/>
      <c r="G2" s="71"/>
    </row>
    <row r="3" spans="2:7" customFormat="1" ht="15.75">
      <c r="B3" s="349" t="s">
        <v>272</v>
      </c>
      <c r="C3" s="349"/>
      <c r="D3" s="349"/>
      <c r="E3" s="349"/>
    </row>
    <row r="4" spans="2:7" customFormat="1" ht="15">
      <c r="B4" s="146"/>
      <c r="C4" s="146"/>
      <c r="D4" s="146"/>
      <c r="E4" s="146"/>
    </row>
    <row r="5" spans="2:7" customFormat="1" ht="14.25">
      <c r="B5" s="350" t="s">
        <v>1</v>
      </c>
      <c r="C5" s="350"/>
      <c r="D5" s="350"/>
      <c r="E5" s="350"/>
    </row>
    <row r="6" spans="2:7" customFormat="1" ht="14.25" customHeight="1">
      <c r="B6" s="351" t="s">
        <v>180</v>
      </c>
      <c r="C6" s="351"/>
      <c r="D6" s="351"/>
      <c r="E6" s="351"/>
    </row>
    <row r="7" spans="2:7" customFormat="1" ht="14.25">
      <c r="B7" s="152"/>
      <c r="C7" s="152"/>
      <c r="D7" s="152"/>
      <c r="E7" s="152"/>
    </row>
    <row r="8" spans="2:7" customFormat="1" ht="13.5">
      <c r="B8" s="353" t="s">
        <v>18</v>
      </c>
      <c r="C8" s="355"/>
      <c r="D8" s="355"/>
      <c r="E8" s="355"/>
    </row>
    <row r="9" spans="2:7" customFormat="1" ht="16.5" thickBot="1">
      <c r="B9" s="352" t="s">
        <v>103</v>
      </c>
      <c r="C9" s="352"/>
      <c r="D9" s="352"/>
      <c r="E9" s="352"/>
    </row>
    <row r="10" spans="2:7" customFormat="1" ht="13.5" thickBot="1">
      <c r="B10" s="153"/>
      <c r="C10" s="75" t="s">
        <v>2</v>
      </c>
      <c r="D10" s="70" t="s">
        <v>250</v>
      </c>
      <c r="E10" s="261" t="s">
        <v>264</v>
      </c>
    </row>
    <row r="11" spans="2:7" customFormat="1">
      <c r="B11" s="89" t="s">
        <v>3</v>
      </c>
      <c r="C11" s="127" t="s">
        <v>109</v>
      </c>
      <c r="D11" s="228">
        <v>35508.89</v>
      </c>
      <c r="E11" s="229">
        <f>SUM(E12:E14)</f>
        <v>38261.4</v>
      </c>
    </row>
    <row r="12" spans="2:7" customFormat="1">
      <c r="B12" s="170" t="s">
        <v>4</v>
      </c>
      <c r="C12" s="171" t="s">
        <v>5</v>
      </c>
      <c r="D12" s="245">
        <v>35508.89</v>
      </c>
      <c r="E12" s="251">
        <v>38261.4</v>
      </c>
    </row>
    <row r="13" spans="2:7" customFormat="1">
      <c r="B13" s="170" t="s">
        <v>6</v>
      </c>
      <c r="C13" s="172" t="s">
        <v>7</v>
      </c>
      <c r="D13" s="241"/>
      <c r="E13" s="252"/>
    </row>
    <row r="14" spans="2:7" customFormat="1">
      <c r="B14" s="170" t="s">
        <v>8</v>
      </c>
      <c r="C14" s="172" t="s">
        <v>10</v>
      </c>
      <c r="D14" s="241"/>
      <c r="E14" s="252"/>
    </row>
    <row r="15" spans="2:7" customFormat="1">
      <c r="B15" s="170" t="s">
        <v>106</v>
      </c>
      <c r="C15" s="172" t="s">
        <v>11</v>
      </c>
      <c r="D15" s="241"/>
      <c r="E15" s="252"/>
    </row>
    <row r="16" spans="2:7" customFormat="1">
      <c r="B16" s="173" t="s">
        <v>107</v>
      </c>
      <c r="C16" s="174" t="s">
        <v>12</v>
      </c>
      <c r="D16" s="243"/>
      <c r="E16" s="253"/>
    </row>
    <row r="17" spans="2:6" customFormat="1">
      <c r="B17" s="9" t="s">
        <v>13</v>
      </c>
      <c r="C17" s="11" t="s">
        <v>65</v>
      </c>
      <c r="D17" s="244"/>
      <c r="E17" s="254"/>
    </row>
    <row r="18" spans="2:6" customFormat="1">
      <c r="B18" s="170" t="s">
        <v>4</v>
      </c>
      <c r="C18" s="171" t="s">
        <v>11</v>
      </c>
      <c r="D18" s="243"/>
      <c r="E18" s="253"/>
    </row>
    <row r="19" spans="2:6" customFormat="1" ht="15" customHeight="1">
      <c r="B19" s="170" t="s">
        <v>6</v>
      </c>
      <c r="C19" s="172" t="s">
        <v>108</v>
      </c>
      <c r="D19" s="241"/>
      <c r="E19" s="252"/>
    </row>
    <row r="20" spans="2:6" customFormat="1" ht="13.5" thickBot="1">
      <c r="B20" s="175" t="s">
        <v>8</v>
      </c>
      <c r="C20" s="176" t="s">
        <v>14</v>
      </c>
      <c r="D20" s="230"/>
      <c r="E20" s="231"/>
    </row>
    <row r="21" spans="2:6" customFormat="1" ht="13.5" thickBot="1">
      <c r="B21" s="359" t="s">
        <v>110</v>
      </c>
      <c r="C21" s="360"/>
      <c r="D21" s="232">
        <v>35508.89</v>
      </c>
      <c r="E21" s="147">
        <f>E11-E17</f>
        <v>38261.4</v>
      </c>
      <c r="F21" s="76"/>
    </row>
    <row r="22" spans="2:6" customFormat="1">
      <c r="B22" s="3"/>
      <c r="C22" s="7"/>
      <c r="D22" s="8"/>
      <c r="E22" s="8"/>
    </row>
    <row r="23" spans="2:6" customFormat="1" ht="13.5">
      <c r="B23" s="353" t="s">
        <v>104</v>
      </c>
      <c r="C23" s="363"/>
      <c r="D23" s="363"/>
      <c r="E23" s="363"/>
    </row>
    <row r="24" spans="2:6" customFormat="1" ht="15.75" customHeight="1" thickBot="1">
      <c r="B24" s="352" t="s">
        <v>105</v>
      </c>
      <c r="C24" s="364"/>
      <c r="D24" s="364"/>
      <c r="E24" s="364"/>
    </row>
    <row r="25" spans="2:6" customFormat="1" ht="13.5" thickBot="1">
      <c r="B25" s="210"/>
      <c r="C25" s="177" t="s">
        <v>2</v>
      </c>
      <c r="D25" s="70" t="s">
        <v>265</v>
      </c>
      <c r="E25" s="261" t="s">
        <v>264</v>
      </c>
    </row>
    <row r="26" spans="2:6" customFormat="1">
      <c r="B26" s="94" t="s">
        <v>15</v>
      </c>
      <c r="C26" s="95" t="s">
        <v>16</v>
      </c>
      <c r="D26" s="197">
        <v>60546.06</v>
      </c>
      <c r="E26" s="219">
        <f>D21</f>
        <v>35508.89</v>
      </c>
    </row>
    <row r="27" spans="2:6" customFormat="1">
      <c r="B27" s="9" t="s">
        <v>17</v>
      </c>
      <c r="C27" s="10" t="s">
        <v>111</v>
      </c>
      <c r="D27" s="198">
        <v>-30296.14</v>
      </c>
      <c r="E27" s="292">
        <v>-396.12</v>
      </c>
      <c r="F27" s="71"/>
    </row>
    <row r="28" spans="2:6" customFormat="1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 customFormat="1">
      <c r="B29" s="178" t="s">
        <v>4</v>
      </c>
      <c r="C29" s="171" t="s">
        <v>20</v>
      </c>
      <c r="D29" s="199"/>
      <c r="E29" s="295"/>
      <c r="F29" s="71"/>
    </row>
    <row r="30" spans="2:6" customFormat="1">
      <c r="B30" s="178" t="s">
        <v>6</v>
      </c>
      <c r="C30" s="171" t="s">
        <v>21</v>
      </c>
      <c r="D30" s="199"/>
      <c r="E30" s="295"/>
      <c r="F30" s="71"/>
    </row>
    <row r="31" spans="2:6" customFormat="1">
      <c r="B31" s="178" t="s">
        <v>8</v>
      </c>
      <c r="C31" s="171" t="s">
        <v>22</v>
      </c>
      <c r="D31" s="199"/>
      <c r="E31" s="295"/>
      <c r="F31" s="71"/>
    </row>
    <row r="32" spans="2:6" customFormat="1">
      <c r="B32" s="91" t="s">
        <v>23</v>
      </c>
      <c r="C32" s="11" t="s">
        <v>24</v>
      </c>
      <c r="D32" s="198">
        <v>30296.14</v>
      </c>
      <c r="E32" s="293">
        <v>396.12</v>
      </c>
      <c r="F32" s="71"/>
    </row>
    <row r="33" spans="2:6" customFormat="1">
      <c r="B33" s="178" t="s">
        <v>4</v>
      </c>
      <c r="C33" s="171" t="s">
        <v>25</v>
      </c>
      <c r="D33" s="199">
        <v>29622.94</v>
      </c>
      <c r="E33" s="295"/>
      <c r="F33" s="71"/>
    </row>
    <row r="34" spans="2:6" customFormat="1">
      <c r="B34" s="178" t="s">
        <v>6</v>
      </c>
      <c r="C34" s="171" t="s">
        <v>26</v>
      </c>
      <c r="D34" s="199"/>
      <c r="E34" s="295"/>
      <c r="F34" s="71"/>
    </row>
    <row r="35" spans="2:6" customFormat="1">
      <c r="B35" s="178" t="s">
        <v>8</v>
      </c>
      <c r="C35" s="171" t="s">
        <v>27</v>
      </c>
      <c r="D35" s="199">
        <v>148.81</v>
      </c>
      <c r="E35" s="295">
        <v>85.9</v>
      </c>
      <c r="F35" s="71"/>
    </row>
    <row r="36" spans="2:6" customFormat="1">
      <c r="B36" s="178" t="s">
        <v>9</v>
      </c>
      <c r="C36" s="171" t="s">
        <v>28</v>
      </c>
      <c r="D36" s="199"/>
      <c r="E36" s="295"/>
      <c r="F36" s="71"/>
    </row>
    <row r="37" spans="2:6" customFormat="1" ht="25.5">
      <c r="B37" s="178" t="s">
        <v>29</v>
      </c>
      <c r="C37" s="171" t="s">
        <v>30</v>
      </c>
      <c r="D37" s="199">
        <v>524.39</v>
      </c>
      <c r="E37" s="295">
        <v>310.22000000000003</v>
      </c>
      <c r="F37" s="71"/>
    </row>
    <row r="38" spans="2:6" customFormat="1">
      <c r="B38" s="178" t="s">
        <v>31</v>
      </c>
      <c r="C38" s="171" t="s">
        <v>32</v>
      </c>
      <c r="D38" s="199"/>
      <c r="E38" s="295"/>
      <c r="F38" s="71"/>
    </row>
    <row r="39" spans="2:6" customFormat="1">
      <c r="B39" s="179" t="s">
        <v>33</v>
      </c>
      <c r="C39" s="180" t="s">
        <v>34</v>
      </c>
      <c r="D39" s="200"/>
      <c r="E39" s="297"/>
      <c r="F39" s="71"/>
    </row>
    <row r="40" spans="2:6" customFormat="1" ht="13.5" thickBot="1">
      <c r="B40" s="96" t="s">
        <v>35</v>
      </c>
      <c r="C40" s="97" t="s">
        <v>36</v>
      </c>
      <c r="D40" s="201">
        <v>3992.74</v>
      </c>
      <c r="E40" s="306">
        <v>3148.63</v>
      </c>
    </row>
    <row r="41" spans="2:6" customFormat="1" ht="13.5" thickBot="1">
      <c r="B41" s="98" t="s">
        <v>37</v>
      </c>
      <c r="C41" s="99" t="s">
        <v>38</v>
      </c>
      <c r="D41" s="202">
        <v>34242.659999999996</v>
      </c>
      <c r="E41" s="147">
        <f>E26+E27+E40</f>
        <v>38261.399999999994</v>
      </c>
      <c r="F41" s="76"/>
    </row>
    <row r="42" spans="2:6" customFormat="1">
      <c r="B42" s="92"/>
      <c r="C42" s="92"/>
      <c r="D42" s="93"/>
      <c r="E42" s="93"/>
      <c r="F42" s="76"/>
    </row>
    <row r="43" spans="2:6" customFormat="1" ht="13.5">
      <c r="B43" s="354" t="s">
        <v>60</v>
      </c>
      <c r="C43" s="366"/>
      <c r="D43" s="366"/>
      <c r="E43" s="366"/>
    </row>
    <row r="44" spans="2:6" customFormat="1" ht="18" customHeight="1" thickBot="1">
      <c r="B44" s="352" t="s">
        <v>121</v>
      </c>
      <c r="C44" s="365"/>
      <c r="D44" s="365"/>
      <c r="E44" s="365"/>
    </row>
    <row r="45" spans="2:6" customFormat="1" ht="13.5" thickBot="1">
      <c r="B45" s="210"/>
      <c r="C45" s="29" t="s">
        <v>39</v>
      </c>
      <c r="D45" s="70" t="s">
        <v>265</v>
      </c>
      <c r="E45" s="261" t="s">
        <v>264</v>
      </c>
    </row>
    <row r="46" spans="2:6" customFormat="1">
      <c r="B46" s="13" t="s">
        <v>18</v>
      </c>
      <c r="C46" s="30" t="s">
        <v>112</v>
      </c>
      <c r="D46" s="100"/>
      <c r="E46" s="28"/>
    </row>
    <row r="47" spans="2:6" customFormat="1">
      <c r="B47" s="181" t="s">
        <v>4</v>
      </c>
      <c r="C47" s="182" t="s">
        <v>40</v>
      </c>
      <c r="D47" s="203">
        <v>1778.6739</v>
      </c>
      <c r="E47" s="148">
        <v>924.71069999999997</v>
      </c>
    </row>
    <row r="48" spans="2:6" customFormat="1">
      <c r="B48" s="183" t="s">
        <v>6</v>
      </c>
      <c r="C48" s="184" t="s">
        <v>41</v>
      </c>
      <c r="D48" s="203">
        <v>934.82550000000003</v>
      </c>
      <c r="E48" s="326">
        <v>914.68809999999996</v>
      </c>
    </row>
    <row r="49" spans="2:5" customFormat="1">
      <c r="B49" s="119" t="s">
        <v>23</v>
      </c>
      <c r="C49" s="123" t="s">
        <v>113</v>
      </c>
      <c r="D49" s="277"/>
      <c r="E49" s="225"/>
    </row>
    <row r="50" spans="2:5" customFormat="1">
      <c r="B50" s="181" t="s">
        <v>4</v>
      </c>
      <c r="C50" s="182" t="s">
        <v>40</v>
      </c>
      <c r="D50" s="203">
        <v>34.04</v>
      </c>
      <c r="E50" s="148">
        <v>38.4</v>
      </c>
    </row>
    <row r="51" spans="2:5" customFormat="1">
      <c r="B51" s="181" t="s">
        <v>6</v>
      </c>
      <c r="C51" s="182" t="s">
        <v>114</v>
      </c>
      <c r="D51" s="203">
        <v>33.81</v>
      </c>
      <c r="E51" s="74">
        <v>34.79</v>
      </c>
    </row>
    <row r="52" spans="2:5" customFormat="1">
      <c r="B52" s="181" t="s">
        <v>8</v>
      </c>
      <c r="C52" s="182" t="s">
        <v>115</v>
      </c>
      <c r="D52" s="203">
        <v>36.869999999999997</v>
      </c>
      <c r="E52" s="74">
        <v>42.21</v>
      </c>
    </row>
    <row r="53" spans="2:5" customFormat="1" ht="13.5" thickBot="1">
      <c r="B53" s="185" t="s">
        <v>9</v>
      </c>
      <c r="C53" s="186" t="s">
        <v>41</v>
      </c>
      <c r="D53" s="205">
        <v>36.630000000000003</v>
      </c>
      <c r="E53" s="333">
        <v>41.83</v>
      </c>
    </row>
    <row r="54" spans="2:5" customFormat="1">
      <c r="B54" s="108"/>
      <c r="C54" s="109"/>
      <c r="D54" s="110"/>
      <c r="E54" s="110"/>
    </row>
    <row r="55" spans="2:5" customFormat="1" ht="13.5">
      <c r="B55" s="354" t="s">
        <v>62</v>
      </c>
      <c r="C55" s="355"/>
      <c r="D55" s="355"/>
      <c r="E55" s="355"/>
    </row>
    <row r="56" spans="2:5" customFormat="1" ht="14.25" thickBot="1">
      <c r="B56" s="352" t="s">
        <v>116</v>
      </c>
      <c r="C56" s="356"/>
      <c r="D56" s="356"/>
      <c r="E56" s="356"/>
    </row>
    <row r="57" spans="2:5" customFormat="1" ht="23.25" thickBot="1">
      <c r="B57" s="347" t="s">
        <v>42</v>
      </c>
      <c r="C57" s="348"/>
      <c r="D57" s="18" t="s">
        <v>122</v>
      </c>
      <c r="E57" s="19" t="s">
        <v>117</v>
      </c>
    </row>
    <row r="58" spans="2:5" customFormat="1">
      <c r="B58" s="20" t="s">
        <v>18</v>
      </c>
      <c r="C58" s="125" t="s">
        <v>43</v>
      </c>
      <c r="D58" s="126">
        <f>D64</f>
        <v>38261.4</v>
      </c>
      <c r="E58" s="31">
        <f>D58/E21</f>
        <v>1</v>
      </c>
    </row>
    <row r="59" spans="2:5" customFormat="1" ht="25.5">
      <c r="B59" s="122" t="s">
        <v>4</v>
      </c>
      <c r="C59" s="22" t="s">
        <v>44</v>
      </c>
      <c r="D59" s="79">
        <v>0</v>
      </c>
      <c r="E59" s="80">
        <v>0</v>
      </c>
    </row>
    <row r="60" spans="2:5" customFormat="1" ht="25.5">
      <c r="B60" s="101" t="s">
        <v>6</v>
      </c>
      <c r="C60" s="15" t="s">
        <v>45</v>
      </c>
      <c r="D60" s="77">
        <v>0</v>
      </c>
      <c r="E60" s="78">
        <v>0</v>
      </c>
    </row>
    <row r="61" spans="2:5" customFormat="1">
      <c r="B61" s="101" t="s">
        <v>8</v>
      </c>
      <c r="C61" s="15" t="s">
        <v>46</v>
      </c>
      <c r="D61" s="77">
        <v>0</v>
      </c>
      <c r="E61" s="78">
        <v>0</v>
      </c>
    </row>
    <row r="62" spans="2:5" customFormat="1">
      <c r="B62" s="101" t="s">
        <v>9</v>
      </c>
      <c r="C62" s="15" t="s">
        <v>47</v>
      </c>
      <c r="D62" s="77">
        <v>0</v>
      </c>
      <c r="E62" s="78">
        <v>0</v>
      </c>
    </row>
    <row r="63" spans="2:5" customFormat="1">
      <c r="B63" s="101" t="s">
        <v>29</v>
      </c>
      <c r="C63" s="15" t="s">
        <v>48</v>
      </c>
      <c r="D63" s="77">
        <v>0</v>
      </c>
      <c r="E63" s="78">
        <v>0</v>
      </c>
    </row>
    <row r="64" spans="2:5" customFormat="1">
      <c r="B64" s="122" t="s">
        <v>31</v>
      </c>
      <c r="C64" s="22" t="s">
        <v>49</v>
      </c>
      <c r="D64" s="79">
        <f>E21</f>
        <v>38261.4</v>
      </c>
      <c r="E64" s="80">
        <f>E58</f>
        <v>1</v>
      </c>
    </row>
    <row r="65" spans="2:5" customFormat="1">
      <c r="B65" s="122" t="s">
        <v>33</v>
      </c>
      <c r="C65" s="22" t="s">
        <v>118</v>
      </c>
      <c r="D65" s="79">
        <v>0</v>
      </c>
      <c r="E65" s="80">
        <v>0</v>
      </c>
    </row>
    <row r="66" spans="2:5" customFormat="1">
      <c r="B66" s="122" t="s">
        <v>50</v>
      </c>
      <c r="C66" s="22" t="s">
        <v>51</v>
      </c>
      <c r="D66" s="79">
        <v>0</v>
      </c>
      <c r="E66" s="80">
        <v>0</v>
      </c>
    </row>
    <row r="67" spans="2:5" customFormat="1">
      <c r="B67" s="101" t="s">
        <v>52</v>
      </c>
      <c r="C67" s="15" t="s">
        <v>53</v>
      </c>
      <c r="D67" s="77">
        <v>0</v>
      </c>
      <c r="E67" s="78">
        <v>0</v>
      </c>
    </row>
    <row r="68" spans="2:5" customFormat="1">
      <c r="B68" s="101" t="s">
        <v>54</v>
      </c>
      <c r="C68" s="15" t="s">
        <v>55</v>
      </c>
      <c r="D68" s="77">
        <v>0</v>
      </c>
      <c r="E68" s="78">
        <v>0</v>
      </c>
    </row>
    <row r="69" spans="2:5" customFormat="1">
      <c r="B69" s="101" t="s">
        <v>56</v>
      </c>
      <c r="C69" s="15" t="s">
        <v>57</v>
      </c>
      <c r="D69" s="239">
        <v>0</v>
      </c>
      <c r="E69" s="78">
        <v>0</v>
      </c>
    </row>
    <row r="70" spans="2:5" customFormat="1">
      <c r="B70" s="128" t="s">
        <v>58</v>
      </c>
      <c r="C70" s="112" t="s">
        <v>59</v>
      </c>
      <c r="D70" s="113">
        <v>0</v>
      </c>
      <c r="E70" s="114">
        <v>0</v>
      </c>
    </row>
    <row r="71" spans="2:5" customFormat="1">
      <c r="B71" s="129" t="s">
        <v>23</v>
      </c>
      <c r="C71" s="120" t="s">
        <v>61</v>
      </c>
      <c r="D71" s="121">
        <v>0</v>
      </c>
      <c r="E71" s="66">
        <v>0</v>
      </c>
    </row>
    <row r="72" spans="2:5" customFormat="1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 customFormat="1">
      <c r="B73" s="131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29" t="s">
        <v>64</v>
      </c>
      <c r="C74" s="120" t="s">
        <v>66</v>
      </c>
      <c r="D74" s="121">
        <f>D58</f>
        <v>38261.4</v>
      </c>
      <c r="E74" s="66">
        <f>E58+E72-E73</f>
        <v>1</v>
      </c>
    </row>
    <row r="75" spans="2:5" customFormat="1">
      <c r="B75" s="101" t="s">
        <v>4</v>
      </c>
      <c r="C75" s="15" t="s">
        <v>67</v>
      </c>
      <c r="D75" s="77">
        <f>D74</f>
        <v>38261.4</v>
      </c>
      <c r="E75" s="78">
        <f>E74</f>
        <v>1</v>
      </c>
    </row>
    <row r="76" spans="2:5" customFormat="1">
      <c r="B76" s="101" t="s">
        <v>6</v>
      </c>
      <c r="C76" s="15" t="s">
        <v>119</v>
      </c>
      <c r="D76" s="77">
        <v>0</v>
      </c>
      <c r="E76" s="78">
        <v>0</v>
      </c>
    </row>
    <row r="77" spans="2:5" customFormat="1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33"/>
      <c r="C4" s="133"/>
      <c r="D4" s="133"/>
      <c r="E4" s="133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266</v>
      </c>
      <c r="C6" s="351"/>
      <c r="D6" s="351"/>
      <c r="E6" s="351"/>
    </row>
    <row r="7" spans="2:5" ht="14.25">
      <c r="B7" s="132"/>
      <c r="C7" s="132"/>
      <c r="D7" s="132"/>
      <c r="E7" s="132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4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1479329.6</v>
      </c>
      <c r="E11" s="229">
        <f>SUM(E12:E14)</f>
        <v>562276.71</v>
      </c>
    </row>
    <row r="12" spans="2:5">
      <c r="B12" s="170" t="s">
        <v>4</v>
      </c>
      <c r="C12" s="171" t="s">
        <v>5</v>
      </c>
      <c r="D12" s="245">
        <v>1479329.6</v>
      </c>
      <c r="E12" s="251">
        <v>562276.71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1479329.6</v>
      </c>
      <c r="E21" s="147">
        <f>E11-E17</f>
        <v>562276.71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1441232.24</v>
      </c>
      <c r="E26" s="219">
        <f>D21</f>
        <v>1479329.6</v>
      </c>
    </row>
    <row r="27" spans="2:6">
      <c r="B27" s="9" t="s">
        <v>17</v>
      </c>
      <c r="C27" s="10" t="s">
        <v>111</v>
      </c>
      <c r="D27" s="198">
        <v>-469156.14999999985</v>
      </c>
      <c r="E27" s="292">
        <f>E28-E32</f>
        <v>-818696.4</v>
      </c>
      <c r="F27" s="71"/>
    </row>
    <row r="28" spans="2:6">
      <c r="B28" s="9" t="s">
        <v>18</v>
      </c>
      <c r="C28" s="10" t="s">
        <v>19</v>
      </c>
      <c r="D28" s="198">
        <v>266842.96000000002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266842.96000000002</v>
      </c>
      <c r="E31" s="295"/>
      <c r="F31" s="71"/>
    </row>
    <row r="32" spans="2:6">
      <c r="B32" s="91" t="s">
        <v>23</v>
      </c>
      <c r="C32" s="11" t="s">
        <v>24</v>
      </c>
      <c r="D32" s="198">
        <v>735999.10999999987</v>
      </c>
      <c r="E32" s="293">
        <f>SUM(E33:E39)</f>
        <v>818696.4</v>
      </c>
      <c r="F32" s="71"/>
    </row>
    <row r="33" spans="2:6">
      <c r="B33" s="178" t="s">
        <v>4</v>
      </c>
      <c r="C33" s="171" t="s">
        <v>25</v>
      </c>
      <c r="D33" s="199">
        <v>725484.34</v>
      </c>
      <c r="E33" s="295">
        <v>118595.23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920.94</v>
      </c>
      <c r="E35" s="295">
        <v>1824.78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9593.83</v>
      </c>
      <c r="E37" s="295">
        <v>7452.03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690824.36</v>
      </c>
      <c r="F39" s="71"/>
    </row>
    <row r="40" spans="2:6" ht="13.5" thickBot="1">
      <c r="B40" s="96" t="s">
        <v>35</v>
      </c>
      <c r="C40" s="97" t="s">
        <v>36</v>
      </c>
      <c r="D40" s="201">
        <v>133839.82999999999</v>
      </c>
      <c r="E40" s="306">
        <v>-98356.49</v>
      </c>
    </row>
    <row r="41" spans="2:6" ht="13.5" thickBot="1">
      <c r="B41" s="98" t="s">
        <v>37</v>
      </c>
      <c r="C41" s="99" t="s">
        <v>38</v>
      </c>
      <c r="D41" s="202">
        <v>1105915.9200000002</v>
      </c>
      <c r="E41" s="147">
        <f>E26+E27+E40</f>
        <v>562276.71000000008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3174.87</v>
      </c>
      <c r="E47" s="148">
        <v>2653.5059999999999</v>
      </c>
    </row>
    <row r="48" spans="2:6">
      <c r="B48" s="183" t="s">
        <v>6</v>
      </c>
      <c r="C48" s="184" t="s">
        <v>41</v>
      </c>
      <c r="D48" s="203">
        <v>2174.902</v>
      </c>
      <c r="E48" s="148">
        <v>1098.54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453.95</v>
      </c>
      <c r="E50" s="148">
        <v>557.5</v>
      </c>
    </row>
    <row r="51" spans="2:5">
      <c r="B51" s="181" t="s">
        <v>6</v>
      </c>
      <c r="C51" s="182" t="s">
        <v>114</v>
      </c>
      <c r="D51" s="203">
        <v>448.39</v>
      </c>
      <c r="E51" s="74">
        <v>423.15</v>
      </c>
    </row>
    <row r="52" spans="2:5">
      <c r="B52" s="181" t="s">
        <v>8</v>
      </c>
      <c r="C52" s="182" t="s">
        <v>115</v>
      </c>
      <c r="D52" s="203">
        <v>532.37</v>
      </c>
      <c r="E52" s="74">
        <v>579.08000000000004</v>
      </c>
    </row>
    <row r="53" spans="2:5" ht="12.75" customHeight="1" thickBot="1">
      <c r="B53" s="185" t="s">
        <v>9</v>
      </c>
      <c r="C53" s="186" t="s">
        <v>41</v>
      </c>
      <c r="D53" s="205">
        <v>508.49</v>
      </c>
      <c r="E53" s="309">
        <v>511.84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562276.71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562276.71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562276.71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562276.71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5118110236220474" bottom="0.6692913385826772" header="0.51181102362204722" footer="0.51181102362204722"/>
  <pageSetup paperSize="9" scale="68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33"/>
      <c r="C4" s="133"/>
      <c r="D4" s="133"/>
      <c r="E4" s="133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181</v>
      </c>
      <c r="C6" s="351"/>
      <c r="D6" s="351"/>
      <c r="E6" s="351"/>
    </row>
    <row r="7" spans="2:5" ht="14.25">
      <c r="B7" s="132"/>
      <c r="C7" s="132"/>
      <c r="D7" s="132"/>
      <c r="E7" s="132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4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13263622.92</v>
      </c>
      <c r="E11" s="229">
        <f>SUM(E12:E14)</f>
        <v>9195981.1300000008</v>
      </c>
    </row>
    <row r="12" spans="2:5">
      <c r="B12" s="170" t="s">
        <v>4</v>
      </c>
      <c r="C12" s="171" t="s">
        <v>5</v>
      </c>
      <c r="D12" s="245">
        <v>13263622.92</v>
      </c>
      <c r="E12" s="251">
        <v>9195981.1300000008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13263622.92</v>
      </c>
      <c r="E21" s="147">
        <f>E11-E17</f>
        <v>9195981.1300000008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11548216.810000001</v>
      </c>
      <c r="E26" s="219">
        <f>D21</f>
        <v>13263622.92</v>
      </c>
    </row>
    <row r="27" spans="2:6">
      <c r="B27" s="9" t="s">
        <v>17</v>
      </c>
      <c r="C27" s="10" t="s">
        <v>111</v>
      </c>
      <c r="D27" s="198">
        <v>-327695.07</v>
      </c>
      <c r="E27" s="292">
        <f>E28-E32</f>
        <v>-4289563.92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26622.13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26622.13</v>
      </c>
      <c r="F31" s="71"/>
    </row>
    <row r="32" spans="2:6">
      <c r="B32" s="91" t="s">
        <v>23</v>
      </c>
      <c r="C32" s="11" t="s">
        <v>24</v>
      </c>
      <c r="D32" s="198">
        <v>327695.07</v>
      </c>
      <c r="E32" s="293">
        <v>4316186.05</v>
      </c>
      <c r="F32" s="71"/>
    </row>
    <row r="33" spans="2:6">
      <c r="B33" s="178" t="s">
        <v>4</v>
      </c>
      <c r="C33" s="171" t="s">
        <v>25</v>
      </c>
      <c r="D33" s="199"/>
      <c r="E33" s="295">
        <v>4225286.07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4237.75</v>
      </c>
      <c r="E35" s="295">
        <v>4023.55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96760.01</v>
      </c>
      <c r="E37" s="295">
        <v>86876.43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226697.31</v>
      </c>
      <c r="E39" s="297"/>
      <c r="F39" s="71"/>
    </row>
    <row r="40" spans="2:6" ht="13.5" thickBot="1">
      <c r="B40" s="96" t="s">
        <v>35</v>
      </c>
      <c r="C40" s="97" t="s">
        <v>36</v>
      </c>
      <c r="D40" s="201">
        <v>985552.59</v>
      </c>
      <c r="E40" s="306">
        <v>221922.13</v>
      </c>
    </row>
    <row r="41" spans="2:6" ht="13.5" thickBot="1">
      <c r="B41" s="98" t="s">
        <v>37</v>
      </c>
      <c r="C41" s="99" t="s">
        <v>38</v>
      </c>
      <c r="D41" s="202">
        <v>12206074.33</v>
      </c>
      <c r="E41" s="147">
        <f>E26+E27+E40</f>
        <v>9195981.1300000008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30429.281999999999</v>
      </c>
      <c r="E47" s="148">
        <v>29204.093000000001</v>
      </c>
    </row>
    <row r="48" spans="2:6">
      <c r="B48" s="183" t="s">
        <v>6</v>
      </c>
      <c r="C48" s="184" t="s">
        <v>41</v>
      </c>
      <c r="D48" s="203">
        <v>29626.394</v>
      </c>
      <c r="E48" s="148">
        <v>19277.574000000001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379.51</v>
      </c>
      <c r="E50" s="148">
        <v>454.17</v>
      </c>
    </row>
    <row r="51" spans="2:5">
      <c r="B51" s="181" t="s">
        <v>6</v>
      </c>
      <c r="C51" s="182" t="s">
        <v>114</v>
      </c>
      <c r="D51" s="203">
        <v>374.92</v>
      </c>
      <c r="E51" s="74">
        <v>353.41</v>
      </c>
    </row>
    <row r="52" spans="2:5">
      <c r="B52" s="181" t="s">
        <v>8</v>
      </c>
      <c r="C52" s="182" t="s">
        <v>115</v>
      </c>
      <c r="D52" s="203">
        <v>420.66</v>
      </c>
      <c r="E52" s="74">
        <v>489.06</v>
      </c>
    </row>
    <row r="53" spans="2:5" ht="14.25" customHeight="1" thickBot="1">
      <c r="B53" s="185" t="s">
        <v>9</v>
      </c>
      <c r="C53" s="186" t="s">
        <v>41</v>
      </c>
      <c r="D53" s="205">
        <v>412</v>
      </c>
      <c r="E53" s="309">
        <v>477.03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9195981.1300000008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9195981.1300000008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9195981.1300000008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9195981.1300000008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3"/>
      <c r="C4" s="133"/>
      <c r="D4" s="133"/>
      <c r="E4" s="13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182</v>
      </c>
      <c r="C6" s="351"/>
      <c r="D6" s="351"/>
      <c r="E6" s="351"/>
    </row>
    <row r="7" spans="2:7" ht="14.25">
      <c r="B7" s="132"/>
      <c r="C7" s="132"/>
      <c r="D7" s="132"/>
      <c r="E7" s="13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113347.15</v>
      </c>
      <c r="E11" s="229">
        <f>SUM(E12:E14)</f>
        <v>111813.32</v>
      </c>
    </row>
    <row r="12" spans="2:7">
      <c r="B12" s="170" t="s">
        <v>4</v>
      </c>
      <c r="C12" s="171" t="s">
        <v>5</v>
      </c>
      <c r="D12" s="245">
        <v>113347.15</v>
      </c>
      <c r="E12" s="251">
        <v>111813.32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113347.15</v>
      </c>
      <c r="E21" s="147">
        <f>E11-E17</f>
        <v>111813.32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2683224.23</v>
      </c>
      <c r="E26" s="219">
        <f>D21</f>
        <v>113347.15</v>
      </c>
    </row>
    <row r="27" spans="2:6">
      <c r="B27" s="9" t="s">
        <v>17</v>
      </c>
      <c r="C27" s="10" t="s">
        <v>111</v>
      </c>
      <c r="D27" s="198">
        <v>-2524447.2000000002</v>
      </c>
      <c r="E27" s="292">
        <v>-2054.73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2524447.2000000002</v>
      </c>
      <c r="E32" s="293">
        <f>SUM(E33:E39)</f>
        <v>2054.73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823.41</v>
      </c>
      <c r="E35" s="295">
        <v>1167.73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8585.07</v>
      </c>
      <c r="E37" s="295">
        <v>887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2515038.7200000002</v>
      </c>
      <c r="E39" s="297"/>
      <c r="F39" s="71"/>
    </row>
    <row r="40" spans="2:6" ht="13.5" thickBot="1">
      <c r="B40" s="96" t="s">
        <v>35</v>
      </c>
      <c r="C40" s="97" t="s">
        <v>36</v>
      </c>
      <c r="D40" s="201">
        <v>63341.73</v>
      </c>
      <c r="E40" s="306">
        <v>520.9</v>
      </c>
    </row>
    <row r="41" spans="2:6" ht="13.5" thickBot="1">
      <c r="B41" s="98" t="s">
        <v>37</v>
      </c>
      <c r="C41" s="99" t="s">
        <v>38</v>
      </c>
      <c r="D41" s="202">
        <v>222118.75999999981</v>
      </c>
      <c r="E41" s="147">
        <f>E26+E27+E40</f>
        <v>111813.31999999999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6582.0150000000003</v>
      </c>
      <c r="E47" s="148">
        <v>266.36700000000002</v>
      </c>
    </row>
    <row r="48" spans="2:6">
      <c r="B48" s="183" t="s">
        <v>6</v>
      </c>
      <c r="C48" s="184" t="s">
        <v>41</v>
      </c>
      <c r="D48" s="203">
        <v>525.81200000000001</v>
      </c>
      <c r="E48" s="148">
        <v>261.46600000000001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407.66</v>
      </c>
      <c r="E50" s="148">
        <v>425.53</v>
      </c>
    </row>
    <row r="51" spans="2:5">
      <c r="B51" s="181" t="s">
        <v>6</v>
      </c>
      <c r="C51" s="182" t="s">
        <v>114</v>
      </c>
      <c r="D51" s="203">
        <v>407.18</v>
      </c>
      <c r="E51" s="74">
        <v>402.71</v>
      </c>
    </row>
    <row r="52" spans="2:5">
      <c r="B52" s="181" t="s">
        <v>8</v>
      </c>
      <c r="C52" s="182" t="s">
        <v>115</v>
      </c>
      <c r="D52" s="203">
        <v>422.96000000000004</v>
      </c>
      <c r="E52" s="74">
        <v>429.79</v>
      </c>
    </row>
    <row r="53" spans="2:5" ht="13.5" customHeight="1" thickBot="1">
      <c r="B53" s="185" t="s">
        <v>9</v>
      </c>
      <c r="C53" s="186" t="s">
        <v>41</v>
      </c>
      <c r="D53" s="205">
        <v>422.43</v>
      </c>
      <c r="E53" s="309">
        <v>427.64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111813.32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111813.32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111813.32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111813.32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263</v>
      </c>
      <c r="C6" s="351"/>
      <c r="D6" s="351"/>
      <c r="E6" s="351"/>
    </row>
    <row r="7" spans="2:7" ht="14.25">
      <c r="B7" s="209"/>
      <c r="C7" s="209"/>
      <c r="D7" s="209"/>
      <c r="E7" s="209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208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50099.44</v>
      </c>
      <c r="E11" s="229">
        <f>SUM(E12:E14)</f>
        <v>51561.82</v>
      </c>
    </row>
    <row r="12" spans="2:7">
      <c r="B12" s="170" t="s">
        <v>4</v>
      </c>
      <c r="C12" s="171" t="s">
        <v>5</v>
      </c>
      <c r="D12" s="245">
        <v>50099.44</v>
      </c>
      <c r="E12" s="251">
        <v>51561.82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50099.44</v>
      </c>
      <c r="E21" s="147">
        <f>E11-E17</f>
        <v>51561.82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51187.75</v>
      </c>
      <c r="E26" s="219">
        <f>D21</f>
        <v>50099.44</v>
      </c>
    </row>
    <row r="27" spans="2:6">
      <c r="B27" s="9" t="s">
        <v>17</v>
      </c>
      <c r="C27" s="10" t="s">
        <v>111</v>
      </c>
      <c r="D27" s="198">
        <v>-1048.3799999999999</v>
      </c>
      <c r="E27" s="292">
        <v>-522.41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1048.3799999999999</v>
      </c>
      <c r="E32" s="293">
        <f>SUM(E33:E39)</f>
        <v>522.41000000000008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344.77</v>
      </c>
      <c r="E35" s="295">
        <v>178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678.41</v>
      </c>
      <c r="E37" s="295">
        <v>344.41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25.2</v>
      </c>
      <c r="E39" s="297"/>
      <c r="F39" s="71"/>
    </row>
    <row r="40" spans="2:6" ht="13.5" thickBot="1">
      <c r="B40" s="96" t="s">
        <v>35</v>
      </c>
      <c r="C40" s="97" t="s">
        <v>36</v>
      </c>
      <c r="D40" s="201">
        <v>1575.77</v>
      </c>
      <c r="E40" s="306">
        <v>1984.79</v>
      </c>
    </row>
    <row r="41" spans="2:6" ht="13.5" thickBot="1">
      <c r="B41" s="98" t="s">
        <v>37</v>
      </c>
      <c r="C41" s="99" t="s">
        <v>38</v>
      </c>
      <c r="D41" s="202">
        <v>51715.14</v>
      </c>
      <c r="E41" s="147">
        <f>E26+E27+E40</f>
        <v>51561.82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46.682000000000002</v>
      </c>
      <c r="E47" s="148">
        <v>45.19</v>
      </c>
    </row>
    <row r="48" spans="2:6">
      <c r="B48" s="183" t="s">
        <v>6</v>
      </c>
      <c r="C48" s="184" t="s">
        <v>41</v>
      </c>
      <c r="D48" s="203">
        <v>45.73</v>
      </c>
      <c r="E48" s="148">
        <v>44.735999999999997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1096.52</v>
      </c>
      <c r="E50" s="148">
        <v>1108.6400000000001</v>
      </c>
    </row>
    <row r="51" spans="2:5">
      <c r="B51" s="181" t="s">
        <v>6</v>
      </c>
      <c r="C51" s="182" t="s">
        <v>114</v>
      </c>
      <c r="D51" s="203">
        <v>1076.8600000000001</v>
      </c>
      <c r="E51" s="73">
        <v>1108.6400000000001</v>
      </c>
    </row>
    <row r="52" spans="2:5">
      <c r="B52" s="181" t="s">
        <v>8</v>
      </c>
      <c r="C52" s="182" t="s">
        <v>115</v>
      </c>
      <c r="D52" s="203">
        <v>1140</v>
      </c>
      <c r="E52" s="73">
        <v>1183.6300000000001</v>
      </c>
    </row>
    <row r="53" spans="2:5" ht="13.5" customHeight="1" thickBot="1">
      <c r="B53" s="185" t="s">
        <v>9</v>
      </c>
      <c r="C53" s="186" t="s">
        <v>41</v>
      </c>
      <c r="D53" s="205">
        <v>1130.8800000000001</v>
      </c>
      <c r="E53" s="315">
        <v>1152.58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51561.82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51561.82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51561.82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51561.82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3.140625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89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45898661.700000003</v>
      </c>
      <c r="E11" s="229">
        <f>SUM(E12:E14)</f>
        <v>50587004.159999996</v>
      </c>
    </row>
    <row r="12" spans="2:7">
      <c r="B12" s="105" t="s">
        <v>4</v>
      </c>
      <c r="C12" s="6" t="s">
        <v>5</v>
      </c>
      <c r="D12" s="245">
        <v>45712236.25</v>
      </c>
      <c r="E12" s="251">
        <f>50778967.73+239284.85-548158.33</f>
        <v>50470094.25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>
        <v>186425.45</v>
      </c>
      <c r="E14" s="252">
        <f>E15</f>
        <v>116909.91</v>
      </c>
    </row>
    <row r="15" spans="2:7">
      <c r="B15" s="105" t="s">
        <v>106</v>
      </c>
      <c r="C15" s="68" t="s">
        <v>11</v>
      </c>
      <c r="D15" s="241">
        <v>186425.45</v>
      </c>
      <c r="E15" s="252">
        <v>116909.91</v>
      </c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92012.32</v>
      </c>
      <c r="E17" s="254">
        <f>E18</f>
        <v>133943.84</v>
      </c>
    </row>
    <row r="18" spans="2:6">
      <c r="B18" s="105" t="s">
        <v>4</v>
      </c>
      <c r="C18" s="6" t="s">
        <v>11</v>
      </c>
      <c r="D18" s="243">
        <v>92012.32</v>
      </c>
      <c r="E18" s="253">
        <v>133943.84</v>
      </c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45806649.380000003</v>
      </c>
      <c r="E21" s="147">
        <f>E11-E17</f>
        <v>50453060.319999993</v>
      </c>
      <c r="F21" s="76"/>
    </row>
    <row r="22" spans="2:6">
      <c r="B22" s="3"/>
      <c r="C22" s="7"/>
      <c r="D22" s="8"/>
      <c r="E22" s="8"/>
    </row>
    <row r="23" spans="2:6" ht="15.75">
      <c r="B23" s="353"/>
      <c r="C23" s="361"/>
      <c r="D23" s="361"/>
      <c r="E23" s="361"/>
    </row>
    <row r="24" spans="2:6" ht="17.25" customHeight="1" thickBot="1">
      <c r="B24" s="352" t="s">
        <v>105</v>
      </c>
      <c r="C24" s="362"/>
      <c r="D24" s="362"/>
      <c r="E24" s="362"/>
    </row>
    <row r="25" spans="2:6" ht="13.5" thickBot="1">
      <c r="B25" s="85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44415674.200000003</v>
      </c>
      <c r="E26" s="219">
        <f>D21</f>
        <v>45806649.380000003</v>
      </c>
    </row>
    <row r="27" spans="2:6">
      <c r="B27" s="9" t="s">
        <v>17</v>
      </c>
      <c r="C27" s="10" t="s">
        <v>111</v>
      </c>
      <c r="D27" s="198">
        <v>-462934.54999999981</v>
      </c>
      <c r="E27" s="292">
        <f>E28-E32</f>
        <v>622235.78000000119</v>
      </c>
      <c r="F27" s="71"/>
    </row>
    <row r="28" spans="2:6">
      <c r="B28" s="9" t="s">
        <v>18</v>
      </c>
      <c r="C28" s="10" t="s">
        <v>19</v>
      </c>
      <c r="D28" s="198">
        <v>4745693.71</v>
      </c>
      <c r="E28" s="293">
        <v>6307071.2100000009</v>
      </c>
      <c r="F28" s="71"/>
    </row>
    <row r="29" spans="2:6">
      <c r="B29" s="103" t="s">
        <v>4</v>
      </c>
      <c r="C29" s="6" t="s">
        <v>20</v>
      </c>
      <c r="D29" s="199">
        <v>4325430.5199999996</v>
      </c>
      <c r="E29" s="295">
        <v>4296281.75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420263.19</v>
      </c>
      <c r="E31" s="295">
        <v>2010789.46</v>
      </c>
      <c r="F31" s="71"/>
    </row>
    <row r="32" spans="2:6">
      <c r="B32" s="91" t="s">
        <v>23</v>
      </c>
      <c r="C32" s="11" t="s">
        <v>24</v>
      </c>
      <c r="D32" s="198">
        <v>5208628.26</v>
      </c>
      <c r="E32" s="293">
        <f>SUM(E33:E39)</f>
        <v>5684835.4299999997</v>
      </c>
      <c r="F32" s="71"/>
    </row>
    <row r="33" spans="2:6">
      <c r="B33" s="103" t="s">
        <v>4</v>
      </c>
      <c r="C33" s="6" t="s">
        <v>25</v>
      </c>
      <c r="D33" s="199">
        <v>3696032.33</v>
      </c>
      <c r="E33" s="295">
        <f>2585449.06+94019.07</f>
        <v>2679468.13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601913.13</v>
      </c>
      <c r="E35" s="295">
        <v>585702.32999999996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910682.8</v>
      </c>
      <c r="E39" s="297">
        <v>2419664.9700000002</v>
      </c>
      <c r="F39" s="71"/>
    </row>
    <row r="40" spans="2:6" ht="13.5" thickBot="1">
      <c r="B40" s="96" t="s">
        <v>35</v>
      </c>
      <c r="C40" s="97" t="s">
        <v>36</v>
      </c>
      <c r="D40" s="201">
        <v>2787903.8</v>
      </c>
      <c r="E40" s="306">
        <v>4024175.16</v>
      </c>
    </row>
    <row r="41" spans="2:6" ht="13.5" thickBot="1">
      <c r="B41" s="98" t="s">
        <v>37</v>
      </c>
      <c r="C41" s="99" t="s">
        <v>38</v>
      </c>
      <c r="D41" s="202">
        <v>46740643.450000003</v>
      </c>
      <c r="E41" s="147">
        <f>E26+E27+E40</f>
        <v>50453060.320000008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7.25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3858232.0539199999</v>
      </c>
      <c r="E47" s="73">
        <v>3778970.8491000002</v>
      </c>
    </row>
    <row r="48" spans="2:6">
      <c r="B48" s="122" t="s">
        <v>6</v>
      </c>
      <c r="C48" s="22" t="s">
        <v>41</v>
      </c>
      <c r="D48" s="203">
        <v>3822896.4503332935</v>
      </c>
      <c r="E48" s="316">
        <v>3830188.6409999998</v>
      </c>
    </row>
    <row r="49" spans="2:5">
      <c r="B49" s="119" t="s">
        <v>23</v>
      </c>
      <c r="C49" s="123" t="s">
        <v>113</v>
      </c>
      <c r="D49" s="277"/>
      <c r="E49" s="73"/>
    </row>
    <row r="50" spans="2:5">
      <c r="B50" s="101" t="s">
        <v>4</v>
      </c>
      <c r="C50" s="15" t="s">
        <v>40</v>
      </c>
      <c r="D50" s="203">
        <v>11.5119240054296</v>
      </c>
      <c r="E50" s="73">
        <v>12.121499999999999</v>
      </c>
    </row>
    <row r="51" spans="2:5">
      <c r="B51" s="101" t="s">
        <v>6</v>
      </c>
      <c r="C51" s="15" t="s">
        <v>114</v>
      </c>
      <c r="D51" s="203">
        <v>11.438000000000001</v>
      </c>
      <c r="E51" s="73">
        <v>8.7685999999999993</v>
      </c>
    </row>
    <row r="52" spans="2:5">
      <c r="B52" s="101" t="s">
        <v>8</v>
      </c>
      <c r="C52" s="15" t="s">
        <v>115</v>
      </c>
      <c r="D52" s="203">
        <v>12.8484</v>
      </c>
      <c r="E52" s="73">
        <v>13.5777</v>
      </c>
    </row>
    <row r="53" spans="2:5" ht="13.5" thickBot="1">
      <c r="B53" s="102" t="s">
        <v>9</v>
      </c>
      <c r="C53" s="17" t="s">
        <v>41</v>
      </c>
      <c r="D53" s="205">
        <v>12.2265</v>
      </c>
      <c r="E53" s="309">
        <v>13.172499999999999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50470094.25</v>
      </c>
      <c r="E58" s="31">
        <f>D58/E21</f>
        <v>1.000337619361283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151">
        <f>50778967.73-548158.33</f>
        <v>50230809.399999999</v>
      </c>
      <c r="E64" s="80">
        <f>D64/E21</f>
        <v>0.99559489714617189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7">
        <v>239284.85</v>
      </c>
      <c r="E69" s="78">
        <f>D69/E21</f>
        <v>4.7427222151110145E-3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116909.91</v>
      </c>
      <c r="E72" s="118">
        <f>D72/E21</f>
        <v>2.3172015584088561E-3</v>
      </c>
    </row>
    <row r="73" spans="2:5">
      <c r="B73" s="23" t="s">
        <v>62</v>
      </c>
      <c r="C73" s="24" t="s">
        <v>65</v>
      </c>
      <c r="D73" s="25">
        <f>E17</f>
        <v>133943.84</v>
      </c>
      <c r="E73" s="26">
        <f>D73/E21</f>
        <v>2.6548209196916367E-3</v>
      </c>
    </row>
    <row r="74" spans="2:5">
      <c r="B74" s="119" t="s">
        <v>64</v>
      </c>
      <c r="C74" s="120" t="s">
        <v>66</v>
      </c>
      <c r="D74" s="121">
        <f>D58+D71+D72-D73</f>
        <v>50453060.319999993</v>
      </c>
      <c r="E74" s="66">
        <f>E58+E72-E73</f>
        <v>1</v>
      </c>
    </row>
    <row r="75" spans="2:5">
      <c r="B75" s="14" t="s">
        <v>4</v>
      </c>
      <c r="C75" s="15" t="s">
        <v>67</v>
      </c>
      <c r="D75" s="77">
        <f>D74</f>
        <v>50453060.319999993</v>
      </c>
      <c r="E75" s="78">
        <f>E74</f>
        <v>1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3"/>
      <c r="C4" s="133"/>
      <c r="D4" s="133"/>
      <c r="E4" s="13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183</v>
      </c>
      <c r="C6" s="351"/>
      <c r="D6" s="351"/>
      <c r="E6" s="351"/>
    </row>
    <row r="7" spans="2:7" ht="14.25">
      <c r="B7" s="132"/>
      <c r="C7" s="132"/>
      <c r="D7" s="132"/>
      <c r="E7" s="13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188189.18</v>
      </c>
      <c r="E11" s="229">
        <f>SUM(E12:E14)</f>
        <v>116632.95</v>
      </c>
    </row>
    <row r="12" spans="2:7">
      <c r="B12" s="170" t="s">
        <v>4</v>
      </c>
      <c r="C12" s="171" t="s">
        <v>5</v>
      </c>
      <c r="D12" s="245">
        <v>188189.18</v>
      </c>
      <c r="E12" s="251">
        <v>116632.95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188189.18</v>
      </c>
      <c r="E21" s="147">
        <f>E11-E17</f>
        <v>116632.95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231251.02</v>
      </c>
      <c r="E26" s="219">
        <f>D21</f>
        <v>188189.18</v>
      </c>
    </row>
    <row r="27" spans="2:6">
      <c r="B27" s="9" t="s">
        <v>17</v>
      </c>
      <c r="C27" s="10" t="s">
        <v>111</v>
      </c>
      <c r="D27" s="198">
        <v>-19170.900000000001</v>
      </c>
      <c r="E27" s="292">
        <f>E28-E32</f>
        <v>-48081.24</v>
      </c>
      <c r="F27" s="71"/>
    </row>
    <row r="28" spans="2:6">
      <c r="B28" s="9" t="s">
        <v>18</v>
      </c>
      <c r="C28" s="10" t="s">
        <v>19</v>
      </c>
      <c r="D28" s="198">
        <v>14866.849999999999</v>
      </c>
      <c r="E28" s="293">
        <v>3703.54</v>
      </c>
      <c r="F28" s="71"/>
    </row>
    <row r="29" spans="2:6">
      <c r="B29" s="178" t="s">
        <v>4</v>
      </c>
      <c r="C29" s="171" t="s">
        <v>20</v>
      </c>
      <c r="D29" s="199">
        <v>6075.45</v>
      </c>
      <c r="E29" s="295">
        <v>3703.54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8791.4</v>
      </c>
      <c r="E31" s="295"/>
      <c r="F31" s="71"/>
    </row>
    <row r="32" spans="2:6">
      <c r="B32" s="91" t="s">
        <v>23</v>
      </c>
      <c r="C32" s="11" t="s">
        <v>24</v>
      </c>
      <c r="D32" s="198">
        <v>34037.75</v>
      </c>
      <c r="E32" s="293">
        <f>SUM(E33:E39)</f>
        <v>51784.78</v>
      </c>
      <c r="F32" s="71"/>
    </row>
    <row r="33" spans="2:6">
      <c r="B33" s="178" t="s">
        <v>4</v>
      </c>
      <c r="C33" s="171" t="s">
        <v>25</v>
      </c>
      <c r="D33" s="199">
        <v>30948.85</v>
      </c>
      <c r="E33" s="295">
        <f>23611.16-0.2</f>
        <v>23610.959999999999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519.99</v>
      </c>
      <c r="E35" s="295">
        <v>402.03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2144.7199999999998</v>
      </c>
      <c r="E37" s="295">
        <v>1292.23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424.19</v>
      </c>
      <c r="E39" s="297">
        <v>26479.56</v>
      </c>
      <c r="F39" s="71"/>
    </row>
    <row r="40" spans="2:6" ht="13.5" thickBot="1">
      <c r="B40" s="96" t="s">
        <v>35</v>
      </c>
      <c r="C40" s="97" t="s">
        <v>36</v>
      </c>
      <c r="D40" s="201">
        <v>12051.48</v>
      </c>
      <c r="E40" s="306">
        <v>-23474.99</v>
      </c>
    </row>
    <row r="41" spans="2:6" ht="13.5" thickBot="1">
      <c r="B41" s="98" t="s">
        <v>37</v>
      </c>
      <c r="C41" s="99" t="s">
        <v>38</v>
      </c>
      <c r="D41" s="202">
        <v>224131.6</v>
      </c>
      <c r="E41" s="147">
        <f>E26+E27+E40</f>
        <v>116632.95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670.11800000000005</v>
      </c>
      <c r="E47" s="148">
        <v>538.46799999999996</v>
      </c>
    </row>
    <row r="48" spans="2:6">
      <c r="B48" s="183" t="s">
        <v>6</v>
      </c>
      <c r="C48" s="184" t="s">
        <v>41</v>
      </c>
      <c r="D48" s="203">
        <v>616</v>
      </c>
      <c r="E48" s="148">
        <v>375.43599999999998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345.09</v>
      </c>
      <c r="E50" s="148">
        <v>349.49</v>
      </c>
    </row>
    <row r="51" spans="2:5">
      <c r="B51" s="181" t="s">
        <v>6</v>
      </c>
      <c r="C51" s="182" t="s">
        <v>114</v>
      </c>
      <c r="D51" s="203">
        <v>343.78000000000003</v>
      </c>
      <c r="E51" s="148">
        <v>240.91</v>
      </c>
    </row>
    <row r="52" spans="2:5">
      <c r="B52" s="181" t="s">
        <v>8</v>
      </c>
      <c r="C52" s="182" t="s">
        <v>115</v>
      </c>
      <c r="D52" s="203">
        <v>366.82</v>
      </c>
      <c r="E52" s="74">
        <v>360.2</v>
      </c>
    </row>
    <row r="53" spans="2:5" ht="13.5" customHeight="1" thickBot="1">
      <c r="B53" s="185" t="s">
        <v>9</v>
      </c>
      <c r="C53" s="186" t="s">
        <v>41</v>
      </c>
      <c r="D53" s="205">
        <v>363.85</v>
      </c>
      <c r="E53" s="309">
        <v>310.66000000000003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116632.95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116632.95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116632.95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116632.95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3"/>
      <c r="C4" s="133"/>
      <c r="D4" s="133"/>
      <c r="E4" s="133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184</v>
      </c>
      <c r="C6" s="351"/>
      <c r="D6" s="351"/>
      <c r="E6" s="351"/>
    </row>
    <row r="7" spans="2:7" ht="14.25">
      <c r="B7" s="132"/>
      <c r="C7" s="132"/>
      <c r="D7" s="132"/>
      <c r="E7" s="132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4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639999.86</v>
      </c>
      <c r="E11" s="229">
        <f>SUM(E12:E14)</f>
        <v>650366.32999999996</v>
      </c>
    </row>
    <row r="12" spans="2:7">
      <c r="B12" s="170" t="s">
        <v>4</v>
      </c>
      <c r="C12" s="171" t="s">
        <v>5</v>
      </c>
      <c r="D12" s="245">
        <v>639999.86</v>
      </c>
      <c r="E12" s="251">
        <v>650366.32999999996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639999.86</v>
      </c>
      <c r="E21" s="147">
        <f>E11-E17</f>
        <v>650366.32999999996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767355.0199999999</v>
      </c>
      <c r="E26" s="219">
        <f>D21</f>
        <v>639999.86</v>
      </c>
    </row>
    <row r="27" spans="2:6">
      <c r="B27" s="9" t="s">
        <v>17</v>
      </c>
      <c r="C27" s="10" t="s">
        <v>111</v>
      </c>
      <c r="D27" s="198">
        <v>-55547.5</v>
      </c>
      <c r="E27" s="292">
        <f>E28-E32</f>
        <v>-16660.46</v>
      </c>
      <c r="F27" s="71"/>
    </row>
    <row r="28" spans="2:6">
      <c r="B28" s="9" t="s">
        <v>18</v>
      </c>
      <c r="C28" s="10" t="s">
        <v>19</v>
      </c>
      <c r="D28" s="198">
        <v>9732.32</v>
      </c>
      <c r="E28" s="293">
        <v>24204.65</v>
      </c>
      <c r="F28" s="71"/>
    </row>
    <row r="29" spans="2:6">
      <c r="B29" s="178" t="s">
        <v>4</v>
      </c>
      <c r="C29" s="171" t="s">
        <v>20</v>
      </c>
      <c r="D29" s="199">
        <v>3805.58</v>
      </c>
      <c r="E29" s="295">
        <v>3680.18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5926.74</v>
      </c>
      <c r="E31" s="295">
        <v>20524.47</v>
      </c>
      <c r="F31" s="71"/>
    </row>
    <row r="32" spans="2:6">
      <c r="B32" s="91" t="s">
        <v>23</v>
      </c>
      <c r="C32" s="11" t="s">
        <v>24</v>
      </c>
      <c r="D32" s="198">
        <v>65279.82</v>
      </c>
      <c r="E32" s="293">
        <f>SUM(E33:E39)</f>
        <v>40865.11</v>
      </c>
      <c r="F32" s="71"/>
    </row>
    <row r="33" spans="2:6">
      <c r="B33" s="178" t="s">
        <v>4</v>
      </c>
      <c r="C33" s="171" t="s">
        <v>25</v>
      </c>
      <c r="D33" s="199">
        <v>51921.84</v>
      </c>
      <c r="E33" s="295">
        <f>14628.71+38.76</f>
        <v>14667.47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651.86</v>
      </c>
      <c r="E35" s="295">
        <v>536.48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6596.65</v>
      </c>
      <c r="E37" s="295">
        <v>5565.65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6109.47</v>
      </c>
      <c r="E39" s="297">
        <v>20095.509999999998</v>
      </c>
      <c r="F39" s="71"/>
    </row>
    <row r="40" spans="2:6" ht="13.5" thickBot="1">
      <c r="B40" s="96" t="s">
        <v>35</v>
      </c>
      <c r="C40" s="97" t="s">
        <v>36</v>
      </c>
      <c r="D40" s="201">
        <v>11057.58</v>
      </c>
      <c r="E40" s="306">
        <v>27026.93</v>
      </c>
    </row>
    <row r="41" spans="2:6" ht="13.5" thickBot="1">
      <c r="B41" s="98" t="s">
        <v>37</v>
      </c>
      <c r="C41" s="99" t="s">
        <v>38</v>
      </c>
      <c r="D41" s="202">
        <v>722865.09999999986</v>
      </c>
      <c r="E41" s="147">
        <f>E26+E27+E40</f>
        <v>650366.33000000007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2640.9520200000002</v>
      </c>
      <c r="E47" s="148">
        <v>2143.0480000000002</v>
      </c>
    </row>
    <row r="48" spans="2:6">
      <c r="B48" s="183" t="s">
        <v>6</v>
      </c>
      <c r="C48" s="184" t="s">
        <v>41</v>
      </c>
      <c r="D48" s="203">
        <v>2450.1410026099043</v>
      </c>
      <c r="E48" s="148">
        <v>2088.6579999999999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290.56</v>
      </c>
      <c r="E50" s="148">
        <v>298.64</v>
      </c>
    </row>
    <row r="51" spans="2:5">
      <c r="B51" s="181" t="s">
        <v>6</v>
      </c>
      <c r="C51" s="182" t="s">
        <v>114</v>
      </c>
      <c r="D51" s="203">
        <v>289.67</v>
      </c>
      <c r="E51" s="74">
        <v>296.79000000000002</v>
      </c>
    </row>
    <row r="52" spans="2:5">
      <c r="B52" s="181" t="s">
        <v>8</v>
      </c>
      <c r="C52" s="182" t="s">
        <v>115</v>
      </c>
      <c r="D52" s="203">
        <v>295.70999999999998</v>
      </c>
      <c r="E52" s="74">
        <v>312.02999999999997</v>
      </c>
    </row>
    <row r="53" spans="2:5" ht="14.25" customHeight="1" thickBot="1">
      <c r="B53" s="185" t="s">
        <v>9</v>
      </c>
      <c r="C53" s="186" t="s">
        <v>41</v>
      </c>
      <c r="D53" s="205">
        <v>295.02999999999997</v>
      </c>
      <c r="E53" s="309">
        <v>311.38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650366.32999999996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650366.32999999996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650366.32999999996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650366.32999999996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267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274039.97000000003</v>
      </c>
      <c r="E11" s="229">
        <f>SUM(E12:E14)</f>
        <v>277436.25</v>
      </c>
    </row>
    <row r="12" spans="2:7">
      <c r="B12" s="170" t="s">
        <v>4</v>
      </c>
      <c r="C12" s="171" t="s">
        <v>5</v>
      </c>
      <c r="D12" s="245">
        <v>274039.97000000003</v>
      </c>
      <c r="E12" s="251">
        <v>277436.25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274039.97000000003</v>
      </c>
      <c r="E21" s="147">
        <f>E11-E17</f>
        <v>277436.25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416807.74000000005</v>
      </c>
      <c r="E26" s="219">
        <f>D21</f>
        <v>274039.97000000003</v>
      </c>
    </row>
    <row r="27" spans="2:6">
      <c r="B27" s="9" t="s">
        <v>17</v>
      </c>
      <c r="C27" s="10" t="s">
        <v>111</v>
      </c>
      <c r="D27" s="198">
        <v>-123111.34999999999</v>
      </c>
      <c r="E27" s="292">
        <f>E28-E32</f>
        <v>1363.7200000000012</v>
      </c>
      <c r="F27" s="71"/>
    </row>
    <row r="28" spans="2:6">
      <c r="B28" s="9" t="s">
        <v>18</v>
      </c>
      <c r="C28" s="10" t="s">
        <v>19</v>
      </c>
      <c r="D28" s="198">
        <v>13922.99</v>
      </c>
      <c r="E28" s="293">
        <f>E29+E31</f>
        <v>100669.81</v>
      </c>
      <c r="F28" s="71"/>
    </row>
    <row r="29" spans="2:6">
      <c r="B29" s="178" t="s">
        <v>4</v>
      </c>
      <c r="C29" s="171" t="s">
        <v>20</v>
      </c>
      <c r="D29" s="199">
        <v>13922.99</v>
      </c>
      <c r="E29" s="295">
        <v>12928.63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87741.18</v>
      </c>
      <c r="F31" s="71"/>
    </row>
    <row r="32" spans="2:6">
      <c r="B32" s="91" t="s">
        <v>23</v>
      </c>
      <c r="C32" s="11" t="s">
        <v>24</v>
      </c>
      <c r="D32" s="198">
        <v>137034.34</v>
      </c>
      <c r="E32" s="293">
        <f>SUM(E33:E39)</f>
        <v>99306.09</v>
      </c>
      <c r="F32" s="71"/>
    </row>
    <row r="33" spans="2:6">
      <c r="B33" s="178" t="s">
        <v>4</v>
      </c>
      <c r="C33" s="171" t="s">
        <v>25</v>
      </c>
      <c r="D33" s="199">
        <v>132646.09</v>
      </c>
      <c r="E33" s="295">
        <f>33948.35+10.1</f>
        <v>33958.449999999997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1562.84</v>
      </c>
      <c r="E35" s="295">
        <v>1442.93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2825.41</v>
      </c>
      <c r="E37" s="295">
        <v>1984.45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61920.26</v>
      </c>
      <c r="F39" s="71"/>
    </row>
    <row r="40" spans="2:6" ht="13.5" thickBot="1">
      <c r="B40" s="96" t="s">
        <v>35</v>
      </c>
      <c r="C40" s="97" t="s">
        <v>36</v>
      </c>
      <c r="D40" s="201">
        <v>1623.93</v>
      </c>
      <c r="E40" s="306">
        <v>2032.56</v>
      </c>
    </row>
    <row r="41" spans="2:6" ht="13.5" thickBot="1">
      <c r="B41" s="98" t="s">
        <v>37</v>
      </c>
      <c r="C41" s="99" t="s">
        <v>38</v>
      </c>
      <c r="D41" s="202">
        <v>295320.32000000007</v>
      </c>
      <c r="E41" s="147">
        <f>E26+E27+E40</f>
        <v>277436.25000000006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36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1509.298</v>
      </c>
      <c r="E47" s="148">
        <v>978.8889999999999</v>
      </c>
    </row>
    <row r="48" spans="2:6">
      <c r="B48" s="122" t="s">
        <v>6</v>
      </c>
      <c r="C48" s="22" t="s">
        <v>41</v>
      </c>
      <c r="D48" s="203">
        <v>1063.9489858414095</v>
      </c>
      <c r="E48" s="148">
        <v>985.10900000000004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276.16000000000003</v>
      </c>
      <c r="E50" s="148">
        <v>279.95</v>
      </c>
    </row>
    <row r="51" spans="2:5">
      <c r="B51" s="101" t="s">
        <v>6</v>
      </c>
      <c r="C51" s="15" t="s">
        <v>114</v>
      </c>
      <c r="D51" s="203">
        <v>275.78000000000003</v>
      </c>
      <c r="E51" s="148">
        <v>278.95</v>
      </c>
    </row>
    <row r="52" spans="2:5">
      <c r="B52" s="101" t="s">
        <v>8</v>
      </c>
      <c r="C52" s="15" t="s">
        <v>115</v>
      </c>
      <c r="D52" s="203">
        <v>277.61</v>
      </c>
      <c r="E52" s="74">
        <v>281.76</v>
      </c>
    </row>
    <row r="53" spans="2:5" ht="13.5" customHeight="1" thickBot="1">
      <c r="B53" s="102" t="s">
        <v>9</v>
      </c>
      <c r="C53" s="17" t="s">
        <v>41</v>
      </c>
      <c r="D53" s="205">
        <v>277.57</v>
      </c>
      <c r="E53" s="309">
        <v>281.63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277436.25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277436.25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277436.25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277436.25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G81"/>
  <sheetViews>
    <sheetView zoomScale="80" zoomScaleNormal="80" workbookViewId="0">
      <selection activeCell="L21" sqref="L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185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87485.23000000001</v>
      </c>
      <c r="E11" s="229">
        <f>SUM(E12:E14)</f>
        <v>76082.600000000006</v>
      </c>
    </row>
    <row r="12" spans="2:7">
      <c r="B12" s="170" t="s">
        <v>4</v>
      </c>
      <c r="C12" s="171" t="s">
        <v>5</v>
      </c>
      <c r="D12" s="245">
        <v>87485.23000000001</v>
      </c>
      <c r="E12" s="251">
        <v>76082.600000000006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87485.23000000001</v>
      </c>
      <c r="E21" s="147">
        <f>E11-E17</f>
        <v>76082.600000000006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111648.58</v>
      </c>
      <c r="E26" s="219">
        <f>D21</f>
        <v>87485.23000000001</v>
      </c>
    </row>
    <row r="27" spans="2:6">
      <c r="B27" s="9" t="s">
        <v>17</v>
      </c>
      <c r="C27" s="10" t="s">
        <v>111</v>
      </c>
      <c r="D27" s="198">
        <v>-28800.010000000002</v>
      </c>
      <c r="E27" s="292">
        <f>E28-E32</f>
        <v>-4814.2500000000009</v>
      </c>
      <c r="F27" s="71"/>
    </row>
    <row r="28" spans="2:6">
      <c r="B28" s="9" t="s">
        <v>18</v>
      </c>
      <c r="C28" s="10" t="s">
        <v>19</v>
      </c>
      <c r="D28" s="198">
        <v>12507.85</v>
      </c>
      <c r="E28" s="293">
        <v>3324.51</v>
      </c>
      <c r="F28" s="71"/>
    </row>
    <row r="29" spans="2:6">
      <c r="B29" s="178" t="s">
        <v>4</v>
      </c>
      <c r="C29" s="171" t="s">
        <v>20</v>
      </c>
      <c r="D29" s="199">
        <v>3735.19</v>
      </c>
      <c r="E29" s="295">
        <v>3324.51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8772.66</v>
      </c>
      <c r="E31" s="295"/>
      <c r="F31" s="71"/>
    </row>
    <row r="32" spans="2:6">
      <c r="B32" s="91" t="s">
        <v>23</v>
      </c>
      <c r="C32" s="11" t="s">
        <v>24</v>
      </c>
      <c r="D32" s="198">
        <v>41307.86</v>
      </c>
      <c r="E32" s="293">
        <f>SUM(E33:E39)</f>
        <v>8138.7600000000011</v>
      </c>
      <c r="F32" s="71"/>
    </row>
    <row r="33" spans="2:6">
      <c r="B33" s="178" t="s">
        <v>4</v>
      </c>
      <c r="C33" s="171" t="s">
        <v>25</v>
      </c>
      <c r="D33" s="199">
        <v>40279.57</v>
      </c>
      <c r="E33" s="295">
        <f>7549.18-57.66</f>
        <v>7491.52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264.8</v>
      </c>
      <c r="E35" s="295">
        <v>160.63999999999999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763.49</v>
      </c>
      <c r="E37" s="295">
        <f>486.42+0.18</f>
        <v>486.6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6479.41</v>
      </c>
      <c r="E40" s="306">
        <v>-6588.38</v>
      </c>
    </row>
    <row r="41" spans="2:6" ht="13.5" thickBot="1">
      <c r="B41" s="98" t="s">
        <v>37</v>
      </c>
      <c r="C41" s="99" t="s">
        <v>38</v>
      </c>
      <c r="D41" s="202">
        <v>89327.98000000001</v>
      </c>
      <c r="E41" s="147">
        <f>E26+E27+E40</f>
        <v>76082.600000000006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552.25098000000003</v>
      </c>
      <c r="E47" s="148">
        <v>406.92699999999996</v>
      </c>
    </row>
    <row r="48" spans="2:6">
      <c r="B48" s="183" t="s">
        <v>6</v>
      </c>
      <c r="C48" s="184" t="s">
        <v>41</v>
      </c>
      <c r="D48" s="203">
        <v>414.51498839907191</v>
      </c>
      <c r="E48" s="148">
        <v>383.77100000000002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202.17</v>
      </c>
      <c r="E50" s="148">
        <v>214.99</v>
      </c>
    </row>
    <row r="51" spans="2:5">
      <c r="B51" s="181" t="s">
        <v>6</v>
      </c>
      <c r="C51" s="182" t="s">
        <v>114</v>
      </c>
      <c r="D51" s="203">
        <v>200.74</v>
      </c>
      <c r="E51" s="74">
        <v>163.32</v>
      </c>
    </row>
    <row r="52" spans="2:5">
      <c r="B52" s="181" t="s">
        <v>8</v>
      </c>
      <c r="C52" s="182" t="s">
        <v>115</v>
      </c>
      <c r="D52" s="203">
        <v>216.62</v>
      </c>
      <c r="E52" s="74">
        <v>221.13</v>
      </c>
    </row>
    <row r="53" spans="2:5" ht="13.5" thickBot="1">
      <c r="B53" s="185" t="s">
        <v>9</v>
      </c>
      <c r="C53" s="186" t="s">
        <v>41</v>
      </c>
      <c r="D53" s="205">
        <v>215.5</v>
      </c>
      <c r="E53" s="309">
        <v>198.25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76082.600000000006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24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76082.600000000006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76082.600000000006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76082.600000000006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77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29426329.940000001</v>
      </c>
      <c r="E11" s="229">
        <f>SUM(E12:E14)</f>
        <v>28576566.050000001</v>
      </c>
    </row>
    <row r="12" spans="2:7">
      <c r="B12" s="170" t="s">
        <v>4</v>
      </c>
      <c r="C12" s="171" t="s">
        <v>5</v>
      </c>
      <c r="D12" s="245">
        <v>29426329.940000001</v>
      </c>
      <c r="E12" s="251">
        <v>28576566.050000001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29426329.940000001</v>
      </c>
      <c r="E21" s="147">
        <f>E11-E17</f>
        <v>28576566.050000001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168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26020525.09</v>
      </c>
      <c r="E26" s="219">
        <f>D21</f>
        <v>29426329.940000001</v>
      </c>
    </row>
    <row r="27" spans="2:6">
      <c r="B27" s="9" t="s">
        <v>17</v>
      </c>
      <c r="C27" s="10" t="s">
        <v>111</v>
      </c>
      <c r="D27" s="198">
        <v>-1856767.85</v>
      </c>
      <c r="E27" s="292">
        <f>E28-E32</f>
        <v>-336975.97</v>
      </c>
      <c r="F27" s="71"/>
    </row>
    <row r="28" spans="2:6">
      <c r="B28" s="9" t="s">
        <v>18</v>
      </c>
      <c r="C28" s="10" t="s">
        <v>19</v>
      </c>
      <c r="D28" s="198">
        <v>1149687.3700000001</v>
      </c>
      <c r="E28" s="293">
        <v>1018749.69</v>
      </c>
      <c r="F28" s="71"/>
    </row>
    <row r="29" spans="2:6">
      <c r="B29" s="178" t="s">
        <v>4</v>
      </c>
      <c r="C29" s="171" t="s">
        <v>20</v>
      </c>
      <c r="D29" s="199">
        <v>1149687.3700000001</v>
      </c>
      <c r="E29" s="295">
        <v>1018749.69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3006455.22</v>
      </c>
      <c r="E32" s="293">
        <v>1355725.66</v>
      </c>
      <c r="F32" s="71"/>
    </row>
    <row r="33" spans="2:6">
      <c r="B33" s="178" t="s">
        <v>4</v>
      </c>
      <c r="C33" s="171" t="s">
        <v>25</v>
      </c>
      <c r="D33" s="199">
        <v>3006455.22</v>
      </c>
      <c r="E33" s="295">
        <v>1355725.66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/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2462535.04</v>
      </c>
      <c r="E40" s="306">
        <v>-512787.92</v>
      </c>
    </row>
    <row r="41" spans="2:6" ht="13.5" thickBot="1">
      <c r="B41" s="98" t="s">
        <v>37</v>
      </c>
      <c r="C41" s="99" t="s">
        <v>38</v>
      </c>
      <c r="D41" s="202">
        <v>26626292.279999997</v>
      </c>
      <c r="E41" s="147">
        <f>E26+E27+E40</f>
        <v>28576566.050000001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36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1452208.4110999999</v>
      </c>
      <c r="E47" s="148">
        <v>1330370.4044999999</v>
      </c>
    </row>
    <row r="48" spans="2:6">
      <c r="B48" s="122" t="s">
        <v>6</v>
      </c>
      <c r="C48" s="22" t="s">
        <v>41</v>
      </c>
      <c r="D48" s="203">
        <v>1352199.3326934504</v>
      </c>
      <c r="E48" s="148">
        <v>1315074.3696000001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17.917899999999999</v>
      </c>
      <c r="E50" s="148">
        <v>22.1189</v>
      </c>
    </row>
    <row r="51" spans="2:5">
      <c r="B51" s="101" t="s">
        <v>6</v>
      </c>
      <c r="C51" s="15" t="s">
        <v>114</v>
      </c>
      <c r="D51" s="203">
        <v>17.882999999999999</v>
      </c>
      <c r="E51" s="74">
        <v>20.298999999999999</v>
      </c>
    </row>
    <row r="52" spans="2:5">
      <c r="B52" s="101" t="s">
        <v>8</v>
      </c>
      <c r="C52" s="15" t="s">
        <v>115</v>
      </c>
      <c r="D52" s="203">
        <v>19.803800000000003</v>
      </c>
      <c r="E52" s="74">
        <v>22.929300000000001</v>
      </c>
    </row>
    <row r="53" spans="2:5" ht="13.5" customHeight="1" thickBot="1">
      <c r="B53" s="102" t="s">
        <v>9</v>
      </c>
      <c r="C53" s="17" t="s">
        <v>41</v>
      </c>
      <c r="D53" s="205">
        <v>19.691099999999999</v>
      </c>
      <c r="E53" s="309">
        <v>21.73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28576566.050000001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28576566.050000001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28576566.050000001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28576566.050000001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37"/>
      <c r="C4" s="137"/>
      <c r="D4" s="137"/>
      <c r="E4" s="137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78</v>
      </c>
      <c r="C6" s="351"/>
      <c r="D6" s="351"/>
      <c r="E6" s="351"/>
    </row>
    <row r="7" spans="2:5" ht="14.25">
      <c r="B7" s="135"/>
      <c r="C7" s="135"/>
      <c r="D7" s="135"/>
      <c r="E7" s="135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6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41088497.159999996</v>
      </c>
      <c r="E11" s="229">
        <f>SUM(E12:E14)</f>
        <v>36240590.420000002</v>
      </c>
    </row>
    <row r="12" spans="2:5">
      <c r="B12" s="170" t="s">
        <v>4</v>
      </c>
      <c r="C12" s="171" t="s">
        <v>5</v>
      </c>
      <c r="D12" s="245">
        <v>41088497.159999996</v>
      </c>
      <c r="E12" s="251">
        <v>36240590.420000002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41088497.159999996</v>
      </c>
      <c r="E21" s="147">
        <f>E11-E17</f>
        <v>36240590.420000002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37733841.700000003</v>
      </c>
      <c r="E26" s="219">
        <f>D21</f>
        <v>41088497.159999996</v>
      </c>
    </row>
    <row r="27" spans="2:6">
      <c r="B27" s="9" t="s">
        <v>17</v>
      </c>
      <c r="C27" s="10" t="s">
        <v>111</v>
      </c>
      <c r="D27" s="198">
        <v>-2074753.6899999997</v>
      </c>
      <c r="E27" s="292">
        <v>-1611596.4100000001</v>
      </c>
      <c r="F27" s="71"/>
    </row>
    <row r="28" spans="2:6">
      <c r="B28" s="9" t="s">
        <v>18</v>
      </c>
      <c r="C28" s="10" t="s">
        <v>19</v>
      </c>
      <c r="D28" s="198">
        <v>1650447.09</v>
      </c>
      <c r="E28" s="293">
        <v>1450198.46</v>
      </c>
      <c r="F28" s="71"/>
    </row>
    <row r="29" spans="2:6">
      <c r="B29" s="178" t="s">
        <v>4</v>
      </c>
      <c r="C29" s="171" t="s">
        <v>20</v>
      </c>
      <c r="D29" s="199">
        <v>1650447.09</v>
      </c>
      <c r="E29" s="295">
        <v>1450198.46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3725200.78</v>
      </c>
      <c r="E32" s="293">
        <v>3061794.87</v>
      </c>
      <c r="F32" s="71"/>
    </row>
    <row r="33" spans="2:6">
      <c r="B33" s="178" t="s">
        <v>4</v>
      </c>
      <c r="C33" s="171" t="s">
        <v>25</v>
      </c>
      <c r="D33" s="199">
        <v>3725200.78</v>
      </c>
      <c r="E33" s="295">
        <v>3061794.87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/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1411245.96</v>
      </c>
      <c r="E40" s="306">
        <v>-3236310.33</v>
      </c>
    </row>
    <row r="41" spans="2:6" ht="13.5" thickBot="1">
      <c r="B41" s="98" t="s">
        <v>37</v>
      </c>
      <c r="C41" s="99" t="s">
        <v>38</v>
      </c>
      <c r="D41" s="202">
        <v>37070333.970000006</v>
      </c>
      <c r="E41" s="147">
        <f>E26+E27+E40</f>
        <v>36240590.420000002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36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828481.25842600001</v>
      </c>
      <c r="E47" s="148">
        <v>787869.49459999998</v>
      </c>
    </row>
    <row r="48" spans="2:6">
      <c r="B48" s="122" t="s">
        <v>6</v>
      </c>
      <c r="C48" s="22" t="s">
        <v>41</v>
      </c>
      <c r="D48" s="203">
        <v>784016.40286278666</v>
      </c>
      <c r="E48" s="148">
        <v>756452.71250000002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45.5458</v>
      </c>
      <c r="E50" s="148">
        <v>52.151400000000002</v>
      </c>
    </row>
    <row r="51" spans="2:5">
      <c r="B51" s="101" t="s">
        <v>6</v>
      </c>
      <c r="C51" s="15" t="s">
        <v>114</v>
      </c>
      <c r="D51" s="203">
        <v>45.451799999999999</v>
      </c>
      <c r="E51" s="74">
        <v>46.402000000000001</v>
      </c>
    </row>
    <row r="52" spans="2:5">
      <c r="B52" s="101" t="s">
        <v>8</v>
      </c>
      <c r="C52" s="15" t="s">
        <v>115</v>
      </c>
      <c r="D52" s="203">
        <v>47.490300000000005</v>
      </c>
      <c r="E52" s="74">
        <v>53.927300000000002</v>
      </c>
    </row>
    <row r="53" spans="2:5" ht="12.75" customHeight="1" thickBot="1">
      <c r="B53" s="102" t="s">
        <v>9</v>
      </c>
      <c r="C53" s="17" t="s">
        <v>41</v>
      </c>
      <c r="D53" s="205">
        <v>47.282600000000002</v>
      </c>
      <c r="E53" s="309">
        <v>47.9086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36240590.420000002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36240590.420000002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36240590.420000002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36240590.420000002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 customHeight="1">
      <c r="B6" s="351" t="s">
        <v>79</v>
      </c>
      <c r="C6" s="351"/>
      <c r="D6" s="351"/>
      <c r="E6" s="351"/>
    </row>
    <row r="7" spans="2:7" ht="14.25">
      <c r="B7" s="226"/>
      <c r="C7" s="226"/>
      <c r="D7" s="226"/>
      <c r="E7" s="226"/>
    </row>
    <row r="8" spans="2:7" ht="13.5" customHeight="1">
      <c r="B8" s="353" t="s">
        <v>18</v>
      </c>
      <c r="C8" s="353"/>
      <c r="D8" s="353"/>
      <c r="E8" s="353"/>
    </row>
    <row r="9" spans="2:7" ht="16.5" customHeight="1" thickBot="1">
      <c r="B9" s="352" t="s">
        <v>103</v>
      </c>
      <c r="C9" s="352"/>
      <c r="D9" s="352"/>
      <c r="E9" s="352"/>
    </row>
    <row r="10" spans="2:7" ht="13.5" thickBot="1">
      <c r="B10" s="22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34774696.240000002</v>
      </c>
      <c r="E11" s="229">
        <f>SUM(E12:E14)</f>
        <v>31290960.219999999</v>
      </c>
    </row>
    <row r="12" spans="2:7">
      <c r="B12" s="170" t="s">
        <v>4</v>
      </c>
      <c r="C12" s="171" t="s">
        <v>5</v>
      </c>
      <c r="D12" s="245">
        <v>34774696.240000002</v>
      </c>
      <c r="E12" s="251">
        <v>31290960.219999999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customHeight="1" thickBot="1">
      <c r="B21" s="357" t="s">
        <v>110</v>
      </c>
      <c r="C21" s="369"/>
      <c r="D21" s="232">
        <v>34774696.240000002</v>
      </c>
      <c r="E21" s="147">
        <f>E11-E17</f>
        <v>31290960.219999999</v>
      </c>
      <c r="F21" s="76"/>
    </row>
    <row r="22" spans="2:6">
      <c r="B22" s="3"/>
      <c r="C22" s="7"/>
      <c r="D22" s="8"/>
      <c r="E22" s="8"/>
    </row>
    <row r="23" spans="2:6" ht="13.5" customHeight="1">
      <c r="B23" s="353" t="s">
        <v>104</v>
      </c>
      <c r="C23" s="353"/>
      <c r="D23" s="353"/>
      <c r="E23" s="353"/>
    </row>
    <row r="24" spans="2:6" ht="15.75" customHeight="1" thickBot="1">
      <c r="B24" s="352" t="s">
        <v>105</v>
      </c>
      <c r="C24" s="352"/>
      <c r="D24" s="352"/>
      <c r="E24" s="352"/>
    </row>
    <row r="25" spans="2:6" ht="13.5" thickBot="1">
      <c r="B25" s="227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31352304.68</v>
      </c>
      <c r="E26" s="219">
        <f>D21</f>
        <v>34774696.240000002</v>
      </c>
    </row>
    <row r="27" spans="2:6">
      <c r="B27" s="9" t="s">
        <v>17</v>
      </c>
      <c r="C27" s="10" t="s">
        <v>111</v>
      </c>
      <c r="D27" s="198">
        <v>-1737487.24</v>
      </c>
      <c r="E27" s="292">
        <f>E28-E32</f>
        <v>-633844.27</v>
      </c>
      <c r="F27" s="71"/>
    </row>
    <row r="28" spans="2:6">
      <c r="B28" s="9" t="s">
        <v>18</v>
      </c>
      <c r="C28" s="10" t="s">
        <v>19</v>
      </c>
      <c r="D28" s="198">
        <v>1359516.51</v>
      </c>
      <c r="E28" s="293">
        <v>1216781.67</v>
      </c>
      <c r="F28" s="71"/>
    </row>
    <row r="29" spans="2:6">
      <c r="B29" s="178" t="s">
        <v>4</v>
      </c>
      <c r="C29" s="171" t="s">
        <v>20</v>
      </c>
      <c r="D29" s="199">
        <v>1359516.51</v>
      </c>
      <c r="E29" s="295">
        <v>1216781.67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3097003.75</v>
      </c>
      <c r="E32" s="293">
        <f>SUM(E33:E39)</f>
        <v>1850625.94</v>
      </c>
      <c r="F32" s="71"/>
    </row>
    <row r="33" spans="2:6">
      <c r="B33" s="178" t="s">
        <v>4</v>
      </c>
      <c r="C33" s="171" t="s">
        <v>25</v>
      </c>
      <c r="D33" s="199">
        <v>3097003.75</v>
      </c>
      <c r="E33" s="295">
        <f>1850639.77-13.83</f>
        <v>1850625.94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/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1363658.12</v>
      </c>
      <c r="E40" s="306">
        <v>-2849891.75</v>
      </c>
    </row>
    <row r="41" spans="2:6" ht="13.5" thickBot="1">
      <c r="B41" s="98" t="s">
        <v>37</v>
      </c>
      <c r="C41" s="99" t="s">
        <v>38</v>
      </c>
      <c r="D41" s="202">
        <v>30978475.560000002</v>
      </c>
      <c r="E41" s="147">
        <f>E26+E27+E40</f>
        <v>31290960.219999999</v>
      </c>
      <c r="F41" s="76"/>
    </row>
    <row r="42" spans="2:6">
      <c r="B42" s="92"/>
      <c r="C42" s="92"/>
      <c r="D42" s="93"/>
      <c r="E42" s="93"/>
      <c r="F42" s="76"/>
    </row>
    <row r="43" spans="2:6" ht="13.5" customHeight="1">
      <c r="B43" s="354" t="s">
        <v>60</v>
      </c>
      <c r="C43" s="354"/>
      <c r="D43" s="354"/>
      <c r="E43" s="354"/>
    </row>
    <row r="44" spans="2:6" ht="18" customHeight="1" thickBot="1">
      <c r="B44" s="352" t="s">
        <v>121</v>
      </c>
      <c r="C44" s="352"/>
      <c r="D44" s="352"/>
      <c r="E44" s="352"/>
    </row>
    <row r="45" spans="2:6" ht="13.5" thickBot="1">
      <c r="B45" s="22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667678.32579000003</v>
      </c>
      <c r="E47" s="148">
        <v>637508.68480000005</v>
      </c>
    </row>
    <row r="48" spans="2:6">
      <c r="B48" s="183" t="s">
        <v>6</v>
      </c>
      <c r="C48" s="184" t="s">
        <v>41</v>
      </c>
      <c r="D48" s="203">
        <v>631787.0083678168</v>
      </c>
      <c r="E48" s="148">
        <v>625147.79559999995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46.9572</v>
      </c>
      <c r="E50" s="148">
        <v>54.547800000000002</v>
      </c>
    </row>
    <row r="51" spans="2:5">
      <c r="B51" s="181" t="s">
        <v>6</v>
      </c>
      <c r="C51" s="182" t="s">
        <v>114</v>
      </c>
      <c r="D51" s="203">
        <v>46.864200000000004</v>
      </c>
      <c r="E51" s="74">
        <v>48.3262</v>
      </c>
    </row>
    <row r="52" spans="2:5">
      <c r="B52" s="181" t="s">
        <v>8</v>
      </c>
      <c r="C52" s="182" t="s">
        <v>115</v>
      </c>
      <c r="D52" s="203">
        <v>49.315200000000004</v>
      </c>
      <c r="E52" s="74">
        <v>56.163600000000002</v>
      </c>
    </row>
    <row r="53" spans="2:5" ht="13.5" customHeight="1" thickBot="1">
      <c r="B53" s="185" t="s">
        <v>9</v>
      </c>
      <c r="C53" s="186" t="s">
        <v>41</v>
      </c>
      <c r="D53" s="205">
        <v>49.033099999999997</v>
      </c>
      <c r="E53" s="309">
        <v>50.053699999999999</v>
      </c>
    </row>
    <row r="54" spans="2:5">
      <c r="B54" s="108"/>
      <c r="C54" s="109"/>
      <c r="D54" s="110"/>
      <c r="E54" s="110"/>
    </row>
    <row r="55" spans="2:5" ht="13.5" customHeight="1">
      <c r="B55" s="354" t="s">
        <v>62</v>
      </c>
      <c r="C55" s="354"/>
      <c r="D55" s="354"/>
      <c r="E55" s="354"/>
    </row>
    <row r="56" spans="2:5" ht="18" customHeight="1" thickBot="1">
      <c r="B56" s="352" t="s">
        <v>116</v>
      </c>
      <c r="C56" s="352"/>
      <c r="D56" s="352"/>
      <c r="E56" s="352"/>
    </row>
    <row r="57" spans="2:5" ht="23.25" customHeight="1" thickBot="1">
      <c r="B57" s="367" t="s">
        <v>42</v>
      </c>
      <c r="C57" s="36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31290960.219999999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31290960.219999999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31290960.219999999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31290960.219999999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6"/>
      <c r="C4" s="146"/>
      <c r="D4" s="146"/>
      <c r="E4" s="146"/>
    </row>
    <row r="5" spans="2:7" ht="21" customHeight="1">
      <c r="B5" s="350" t="s">
        <v>1</v>
      </c>
      <c r="C5" s="350"/>
      <c r="D5" s="350"/>
      <c r="E5" s="350"/>
    </row>
    <row r="6" spans="2:7" ht="14.25" customHeight="1">
      <c r="B6" s="351" t="s">
        <v>80</v>
      </c>
      <c r="C6" s="351"/>
      <c r="D6" s="351"/>
      <c r="E6" s="351"/>
    </row>
    <row r="7" spans="2:7" ht="14.25">
      <c r="B7" s="226"/>
      <c r="C7" s="226"/>
      <c r="D7" s="226"/>
      <c r="E7" s="226"/>
    </row>
    <row r="8" spans="2:7" ht="13.5" customHeight="1">
      <c r="B8" s="353" t="s">
        <v>18</v>
      </c>
      <c r="C8" s="353"/>
      <c r="D8" s="353"/>
      <c r="E8" s="353"/>
    </row>
    <row r="9" spans="2:7" ht="16.5" customHeight="1" thickBot="1">
      <c r="B9" s="352" t="s">
        <v>103</v>
      </c>
      <c r="C9" s="352"/>
      <c r="D9" s="352"/>
      <c r="E9" s="352"/>
    </row>
    <row r="10" spans="2:7" ht="13.5" thickBot="1">
      <c r="B10" s="227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33465586.559999999</v>
      </c>
      <c r="E11" s="229">
        <f>SUM(E12:E14)</f>
        <v>29881124.210000001</v>
      </c>
    </row>
    <row r="12" spans="2:7">
      <c r="B12" s="105" t="s">
        <v>4</v>
      </c>
      <c r="C12" s="6" t="s">
        <v>5</v>
      </c>
      <c r="D12" s="245">
        <v>33465586.559999999</v>
      </c>
      <c r="E12" s="251">
        <v>29881124.210000001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customHeight="1" thickBot="1">
      <c r="B21" s="357" t="s">
        <v>110</v>
      </c>
      <c r="C21" s="369"/>
      <c r="D21" s="232">
        <v>33465586.559999999</v>
      </c>
      <c r="E21" s="147">
        <f>E11-E17</f>
        <v>29881124.210000001</v>
      </c>
      <c r="F21" s="76"/>
    </row>
    <row r="22" spans="2:6">
      <c r="B22" s="3"/>
      <c r="C22" s="7"/>
      <c r="D22" s="8"/>
      <c r="E22" s="8"/>
    </row>
    <row r="23" spans="2:6" ht="13.5" customHeight="1">
      <c r="B23" s="353" t="s">
        <v>104</v>
      </c>
      <c r="C23" s="353"/>
      <c r="D23" s="353"/>
      <c r="E23" s="353"/>
    </row>
    <row r="24" spans="2:6" ht="15.75" customHeight="1" thickBot="1">
      <c r="B24" s="352" t="s">
        <v>105</v>
      </c>
      <c r="C24" s="352"/>
      <c r="D24" s="352"/>
      <c r="E24" s="352"/>
    </row>
    <row r="25" spans="2:6" ht="13.5" thickBot="1">
      <c r="B25" s="227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29619334.02</v>
      </c>
      <c r="E26" s="219">
        <f>D21</f>
        <v>33465586.559999999</v>
      </c>
    </row>
    <row r="27" spans="2:6">
      <c r="B27" s="9" t="s">
        <v>17</v>
      </c>
      <c r="C27" s="10" t="s">
        <v>111</v>
      </c>
      <c r="D27" s="198">
        <v>-1019472.4299999999</v>
      </c>
      <c r="E27" s="292">
        <f>E28-E32</f>
        <v>-860339.51</v>
      </c>
      <c r="F27" s="71"/>
    </row>
    <row r="28" spans="2:6">
      <c r="B28" s="9" t="s">
        <v>18</v>
      </c>
      <c r="C28" s="10" t="s">
        <v>19</v>
      </c>
      <c r="D28" s="198">
        <v>1309505.28</v>
      </c>
      <c r="E28" s="293">
        <v>1174694</v>
      </c>
      <c r="F28" s="71"/>
    </row>
    <row r="29" spans="2:6">
      <c r="B29" s="103" t="s">
        <v>4</v>
      </c>
      <c r="C29" s="6" t="s">
        <v>20</v>
      </c>
      <c r="D29" s="199">
        <v>1309505.28</v>
      </c>
      <c r="E29" s="295">
        <v>1174694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2328977.71</v>
      </c>
      <c r="E32" s="293">
        <f>SUM(E33:E39)</f>
        <v>2035033.51</v>
      </c>
      <c r="F32" s="71"/>
    </row>
    <row r="33" spans="2:6">
      <c r="B33" s="103" t="s">
        <v>4</v>
      </c>
      <c r="C33" s="6" t="s">
        <v>25</v>
      </c>
      <c r="D33" s="199">
        <v>2328977.71</v>
      </c>
      <c r="E33" s="295">
        <f>2035061.32-27.83+0.02</f>
        <v>2035033.51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/>
      <c r="E35" s="295"/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1290333.55</v>
      </c>
      <c r="E40" s="306">
        <v>-2724122.84</v>
      </c>
    </row>
    <row r="41" spans="2:6" ht="13.5" thickBot="1">
      <c r="B41" s="98" t="s">
        <v>37</v>
      </c>
      <c r="C41" s="99" t="s">
        <v>38</v>
      </c>
      <c r="D41" s="202">
        <v>29890195.140000001</v>
      </c>
      <c r="E41" s="147">
        <f>E26+E27+E40</f>
        <v>29881124.209999997</v>
      </c>
      <c r="F41" s="76"/>
    </row>
    <row r="42" spans="2:6">
      <c r="B42" s="92"/>
      <c r="C42" s="92"/>
      <c r="D42" s="93"/>
      <c r="E42" s="93"/>
      <c r="F42" s="76"/>
    </row>
    <row r="43" spans="2:6" ht="13.5" customHeight="1">
      <c r="B43" s="354" t="s">
        <v>60</v>
      </c>
      <c r="C43" s="354"/>
      <c r="D43" s="354"/>
      <c r="E43" s="354"/>
    </row>
    <row r="44" spans="2:6" ht="18" customHeight="1" thickBot="1">
      <c r="B44" s="352" t="s">
        <v>121</v>
      </c>
      <c r="C44" s="352"/>
      <c r="D44" s="352"/>
      <c r="E44" s="352"/>
    </row>
    <row r="45" spans="2:6" ht="13.5" thickBot="1">
      <c r="B45" s="227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628289.66501999996</v>
      </c>
      <c r="E47" s="148">
        <v>611651.35759999999</v>
      </c>
    </row>
    <row r="48" spans="2:6">
      <c r="B48" s="122" t="s">
        <v>6</v>
      </c>
      <c r="C48" s="22" t="s">
        <v>41</v>
      </c>
      <c r="D48" s="203">
        <v>607639.15008324746</v>
      </c>
      <c r="E48" s="148">
        <v>594917.98699999996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47.142800000000001</v>
      </c>
      <c r="E50" s="148">
        <v>54.713500000000003</v>
      </c>
    </row>
    <row r="51" spans="2:5">
      <c r="B51" s="101" t="s">
        <v>6</v>
      </c>
      <c r="C51" s="15" t="s">
        <v>114</v>
      </c>
      <c r="D51" s="203">
        <v>47.043900000000001</v>
      </c>
      <c r="E51" s="148">
        <v>48.468699999999998</v>
      </c>
    </row>
    <row r="52" spans="2:5">
      <c r="B52" s="101" t="s">
        <v>8</v>
      </c>
      <c r="C52" s="15" t="s">
        <v>115</v>
      </c>
      <c r="D52" s="203">
        <v>49.4253</v>
      </c>
      <c r="E52" s="74">
        <v>56.316099999999999</v>
      </c>
    </row>
    <row r="53" spans="2:5" ht="13.5" customHeight="1" thickBot="1">
      <c r="B53" s="102" t="s">
        <v>9</v>
      </c>
      <c r="C53" s="17" t="s">
        <v>41</v>
      </c>
      <c r="D53" s="205">
        <v>49.1907</v>
      </c>
      <c r="E53" s="309">
        <v>50.2273</v>
      </c>
    </row>
    <row r="54" spans="2:5">
      <c r="B54" s="108"/>
      <c r="C54" s="109"/>
      <c r="D54" s="110"/>
      <c r="E54" s="110"/>
    </row>
    <row r="55" spans="2:5" ht="13.5" customHeight="1">
      <c r="B55" s="354" t="s">
        <v>62</v>
      </c>
      <c r="C55" s="354"/>
      <c r="D55" s="354"/>
      <c r="E55" s="354"/>
    </row>
    <row r="56" spans="2:5" ht="15.75" customHeight="1" thickBot="1">
      <c r="B56" s="352" t="s">
        <v>116</v>
      </c>
      <c r="C56" s="352"/>
      <c r="D56" s="352"/>
      <c r="E56" s="352"/>
    </row>
    <row r="57" spans="2:5" ht="23.25" customHeight="1" thickBot="1">
      <c r="B57" s="367" t="s">
        <v>42</v>
      </c>
      <c r="C57" s="36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29881124.210000001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29881124.210000001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29881124.210000001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29881124.210000001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81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28398060.829999998</v>
      </c>
      <c r="E11" s="229">
        <f>SUM(E12:E14)</f>
        <v>26568109.16</v>
      </c>
    </row>
    <row r="12" spans="2:7">
      <c r="B12" s="170" t="s">
        <v>4</v>
      </c>
      <c r="C12" s="171" t="s">
        <v>5</v>
      </c>
      <c r="D12" s="245">
        <v>28398060.829999998</v>
      </c>
      <c r="E12" s="251">
        <v>26568109.16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28398060.829999998</v>
      </c>
      <c r="E21" s="147">
        <f>E11-E17</f>
        <v>26568109.16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168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23196988.809999999</v>
      </c>
      <c r="E26" s="219">
        <f>D21</f>
        <v>28398060.829999998</v>
      </c>
    </row>
    <row r="27" spans="2:6">
      <c r="B27" s="9" t="s">
        <v>17</v>
      </c>
      <c r="C27" s="10" t="s">
        <v>111</v>
      </c>
      <c r="D27" s="198">
        <v>-783531.60000000009</v>
      </c>
      <c r="E27" s="292">
        <f>E28-E32</f>
        <v>-1286945.9000000001</v>
      </c>
      <c r="F27" s="71"/>
    </row>
    <row r="28" spans="2:6">
      <c r="B28" s="9" t="s">
        <v>18</v>
      </c>
      <c r="C28" s="10" t="s">
        <v>19</v>
      </c>
      <c r="D28" s="198">
        <v>1079836.42</v>
      </c>
      <c r="E28" s="293">
        <v>956164.95</v>
      </c>
      <c r="F28" s="71"/>
    </row>
    <row r="29" spans="2:6">
      <c r="B29" s="178" t="s">
        <v>4</v>
      </c>
      <c r="C29" s="171" t="s">
        <v>20</v>
      </c>
      <c r="D29" s="199">
        <v>1079836.42</v>
      </c>
      <c r="E29" s="295">
        <v>956164.95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1863368.02</v>
      </c>
      <c r="E32" s="293">
        <f>SUM(E33:E39)</f>
        <v>2243110.85</v>
      </c>
      <c r="F32" s="71"/>
    </row>
    <row r="33" spans="2:6">
      <c r="B33" s="178" t="s">
        <v>4</v>
      </c>
      <c r="C33" s="171" t="s">
        <v>25</v>
      </c>
      <c r="D33" s="199">
        <v>1863368.02</v>
      </c>
      <c r="E33" s="295">
        <f>2225512.96+17597.87+0.02</f>
        <v>2243110.85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/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2578689.64</v>
      </c>
      <c r="E40" s="306">
        <v>-543005.77</v>
      </c>
    </row>
    <row r="41" spans="2:6" ht="13.5" thickBot="1">
      <c r="B41" s="98" t="s">
        <v>37</v>
      </c>
      <c r="C41" s="99" t="s">
        <v>38</v>
      </c>
      <c r="D41" s="202">
        <v>24992146.849999998</v>
      </c>
      <c r="E41" s="147">
        <f>E26+E27+E40</f>
        <v>26568109.16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36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1180923.0116000001</v>
      </c>
      <c r="E47" s="148">
        <v>1139102.8084999998</v>
      </c>
    </row>
    <row r="48" spans="2:6">
      <c r="B48" s="122" t="s">
        <v>6</v>
      </c>
      <c r="C48" s="22" t="s">
        <v>41</v>
      </c>
      <c r="D48" s="203">
        <v>1143580.2956000001</v>
      </c>
      <c r="E48" s="148">
        <v>1086768.0223000001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19.6431</v>
      </c>
      <c r="E50" s="148">
        <v>24.930199999999999</v>
      </c>
    </row>
    <row r="51" spans="2:5">
      <c r="B51" s="101" t="s">
        <v>6</v>
      </c>
      <c r="C51" s="15" t="s">
        <v>114</v>
      </c>
      <c r="D51" s="203">
        <v>19.622700000000002</v>
      </c>
      <c r="E51" s="148">
        <v>22.602499999999999</v>
      </c>
    </row>
    <row r="52" spans="2:5">
      <c r="B52" s="101" t="s">
        <v>8</v>
      </c>
      <c r="C52" s="15" t="s">
        <v>115</v>
      </c>
      <c r="D52" s="203">
        <v>21.979500000000002</v>
      </c>
      <c r="E52" s="74">
        <v>25.954499999999999</v>
      </c>
    </row>
    <row r="53" spans="2:5" ht="12.75" customHeight="1" thickBot="1">
      <c r="B53" s="102" t="s">
        <v>9</v>
      </c>
      <c r="C53" s="17" t="s">
        <v>41</v>
      </c>
      <c r="D53" s="205">
        <v>21.854299999999999</v>
      </c>
      <c r="E53" s="309">
        <v>24.446899999999999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26568109.16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26568109.16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26568109.16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26568109.16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82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20469519.77</v>
      </c>
      <c r="E11" s="229">
        <f>SUM(E12:E14)</f>
        <v>19593342.73</v>
      </c>
    </row>
    <row r="12" spans="2:7">
      <c r="B12" s="105" t="s">
        <v>4</v>
      </c>
      <c r="C12" s="6" t="s">
        <v>5</v>
      </c>
      <c r="D12" s="245">
        <v>20469519.77</v>
      </c>
      <c r="E12" s="251">
        <v>19593342.73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/>
      <c r="E14" s="252"/>
    </row>
    <row r="15" spans="2:7">
      <c r="B15" s="105" t="s">
        <v>106</v>
      </c>
      <c r="C15" s="68" t="s">
        <v>11</v>
      </c>
      <c r="D15" s="241"/>
      <c r="E15" s="252"/>
    </row>
    <row r="16" spans="2:7">
      <c r="B16" s="106" t="s">
        <v>107</v>
      </c>
      <c r="C16" s="90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05" t="s">
        <v>4</v>
      </c>
      <c r="C18" s="6" t="s">
        <v>11</v>
      </c>
      <c r="D18" s="243"/>
      <c r="E18" s="253"/>
    </row>
    <row r="19" spans="2:6" ht="15" customHeight="1">
      <c r="B19" s="105" t="s">
        <v>6</v>
      </c>
      <c r="C19" s="68" t="s">
        <v>108</v>
      </c>
      <c r="D19" s="241"/>
      <c r="E19" s="252"/>
    </row>
    <row r="20" spans="2:6" ht="13.5" thickBot="1">
      <c r="B20" s="107" t="s">
        <v>8</v>
      </c>
      <c r="C20" s="69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20469519.77</v>
      </c>
      <c r="E21" s="147">
        <f>E11-E17</f>
        <v>19593342.73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5.75" customHeight="1" thickBot="1">
      <c r="B24" s="352" t="s">
        <v>105</v>
      </c>
      <c r="C24" s="362"/>
      <c r="D24" s="362"/>
      <c r="E24" s="362"/>
    </row>
    <row r="25" spans="2:6" ht="13.5" thickBot="1">
      <c r="B25" s="136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17650084.16</v>
      </c>
      <c r="E26" s="219">
        <f>D21</f>
        <v>20469519.77</v>
      </c>
    </row>
    <row r="27" spans="2:6">
      <c r="B27" s="9" t="s">
        <v>17</v>
      </c>
      <c r="C27" s="10" t="s">
        <v>111</v>
      </c>
      <c r="D27" s="198">
        <v>-882803.18000000017</v>
      </c>
      <c r="E27" s="292">
        <f>E28-E32</f>
        <v>-498774.24999999988</v>
      </c>
      <c r="F27" s="71"/>
    </row>
    <row r="28" spans="2:6">
      <c r="B28" s="9" t="s">
        <v>18</v>
      </c>
      <c r="C28" s="10" t="s">
        <v>19</v>
      </c>
      <c r="D28" s="198">
        <v>824902.19</v>
      </c>
      <c r="E28" s="293">
        <v>706247.15</v>
      </c>
      <c r="F28" s="71"/>
    </row>
    <row r="29" spans="2:6">
      <c r="B29" s="103" t="s">
        <v>4</v>
      </c>
      <c r="C29" s="6" t="s">
        <v>20</v>
      </c>
      <c r="D29" s="199">
        <v>824902.19</v>
      </c>
      <c r="E29" s="295">
        <v>706247.15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1707705.37</v>
      </c>
      <c r="E32" s="293">
        <f>SUM(E33:E39)</f>
        <v>1205021.3999999999</v>
      </c>
      <c r="F32" s="71"/>
    </row>
    <row r="33" spans="2:6">
      <c r="B33" s="103" t="s">
        <v>4</v>
      </c>
      <c r="C33" s="6" t="s">
        <v>25</v>
      </c>
      <c r="D33" s="199">
        <v>1707705.37</v>
      </c>
      <c r="E33" s="295">
        <f>1136457.23+68564.19-0.02</f>
        <v>1205021.3999999999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/>
      <c r="E35" s="295"/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1979210.65</v>
      </c>
      <c r="E40" s="306">
        <v>-377402.79</v>
      </c>
    </row>
    <row r="41" spans="2:6" ht="13.5" thickBot="1">
      <c r="B41" s="98" t="s">
        <v>37</v>
      </c>
      <c r="C41" s="99" t="s">
        <v>38</v>
      </c>
      <c r="D41" s="202">
        <v>18746491.629999999</v>
      </c>
      <c r="E41" s="147">
        <f>E26+E27+E40</f>
        <v>19593342.73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8" customHeight="1" thickBot="1">
      <c r="B44" s="352" t="s">
        <v>121</v>
      </c>
      <c r="C44" s="356"/>
      <c r="D44" s="356"/>
      <c r="E44" s="356"/>
    </row>
    <row r="45" spans="2:6" ht="13.5" thickBot="1">
      <c r="B45" s="136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961663.54249999998</v>
      </c>
      <c r="E47" s="148">
        <v>881307.81790000002</v>
      </c>
    </row>
    <row r="48" spans="2:6">
      <c r="B48" s="122" t="s">
        <v>6</v>
      </c>
      <c r="C48" s="22" t="s">
        <v>41</v>
      </c>
      <c r="D48" s="203">
        <v>916636.10461875482</v>
      </c>
      <c r="E48" s="148">
        <v>859206.39919999999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01" t="s">
        <v>4</v>
      </c>
      <c r="C50" s="15" t="s">
        <v>40</v>
      </c>
      <c r="D50" s="203">
        <v>18.3537</v>
      </c>
      <c r="E50" s="148">
        <v>23.226299999999998</v>
      </c>
    </row>
    <row r="51" spans="2:5">
      <c r="B51" s="101" t="s">
        <v>6</v>
      </c>
      <c r="C51" s="15" t="s">
        <v>114</v>
      </c>
      <c r="D51" s="203">
        <v>18.3292</v>
      </c>
      <c r="E51" s="148">
        <v>21.341799999999999</v>
      </c>
    </row>
    <row r="52" spans="2:5">
      <c r="B52" s="101" t="s">
        <v>8</v>
      </c>
      <c r="C52" s="15" t="s">
        <v>115</v>
      </c>
      <c r="D52" s="203">
        <v>20.571300000000001</v>
      </c>
      <c r="E52" s="74">
        <v>24.155200000000001</v>
      </c>
    </row>
    <row r="53" spans="2:5" ht="13.5" customHeight="1" thickBot="1">
      <c r="B53" s="102" t="s">
        <v>9</v>
      </c>
      <c r="C53" s="17" t="s">
        <v>41</v>
      </c>
      <c r="D53" s="205">
        <v>20.4514</v>
      </c>
      <c r="E53" s="309">
        <v>22.803999999999998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19593342.73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19593342.73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19593342.73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19593342.73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99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227"/>
      <c r="C10" s="211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78462958.579999998</v>
      </c>
      <c r="E11" s="229">
        <f>SUM(E12:E14)</f>
        <v>80575608.920000002</v>
      </c>
    </row>
    <row r="12" spans="2:7">
      <c r="B12" s="170" t="s">
        <v>4</v>
      </c>
      <c r="C12" s="171" t="s">
        <v>5</v>
      </c>
      <c r="D12" s="245">
        <v>78311778.649999991</v>
      </c>
      <c r="E12" s="251">
        <f>81407412.12+279839.8-1314473.56</f>
        <v>80372778.359999999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>
        <v>151179.93</v>
      </c>
      <c r="E14" s="252">
        <f>E15</f>
        <v>202830.56</v>
      </c>
    </row>
    <row r="15" spans="2:7">
      <c r="B15" s="170" t="s">
        <v>106</v>
      </c>
      <c r="C15" s="172" t="s">
        <v>11</v>
      </c>
      <c r="D15" s="241">
        <v>151179.93</v>
      </c>
      <c r="E15" s="252">
        <v>202830.56</v>
      </c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>
        <v>33999.589999999997</v>
      </c>
      <c r="E17" s="254">
        <f>E18</f>
        <v>37369.43</v>
      </c>
    </row>
    <row r="18" spans="2:6">
      <c r="B18" s="170" t="s">
        <v>4</v>
      </c>
      <c r="C18" s="171" t="s">
        <v>11</v>
      </c>
      <c r="D18" s="243">
        <v>33999.589999999997</v>
      </c>
      <c r="E18" s="253">
        <v>37369.43</v>
      </c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78428958.989999995</v>
      </c>
      <c r="E21" s="147">
        <f>E11-E17</f>
        <v>80538239.489999995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1"/>
      <c r="D23" s="361"/>
      <c r="E23" s="361"/>
    </row>
    <row r="24" spans="2:6" ht="17.25" customHeight="1" thickBot="1">
      <c r="B24" s="352" t="s">
        <v>105</v>
      </c>
      <c r="C24" s="362"/>
      <c r="D24" s="362"/>
      <c r="E24" s="362"/>
    </row>
    <row r="25" spans="2:6" ht="13.5" thickBot="1">
      <c r="B25" s="85"/>
      <c r="C25" s="5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70485443.460000008</v>
      </c>
      <c r="E26" s="219">
        <f>D21</f>
        <v>78428958.989999995</v>
      </c>
    </row>
    <row r="27" spans="2:6">
      <c r="B27" s="9" t="s">
        <v>17</v>
      </c>
      <c r="C27" s="10" t="s">
        <v>111</v>
      </c>
      <c r="D27" s="198">
        <v>3817743.2799999975</v>
      </c>
      <c r="E27" s="292">
        <f>E28-E32</f>
        <v>1701340.92</v>
      </c>
      <c r="F27" s="71"/>
    </row>
    <row r="28" spans="2:6">
      <c r="B28" s="9" t="s">
        <v>18</v>
      </c>
      <c r="C28" s="10" t="s">
        <v>19</v>
      </c>
      <c r="D28" s="198">
        <v>10402542.169999998</v>
      </c>
      <c r="E28" s="293">
        <v>10373517.949999999</v>
      </c>
      <c r="F28" s="71"/>
    </row>
    <row r="29" spans="2:6">
      <c r="B29" s="103" t="s">
        <v>4</v>
      </c>
      <c r="C29" s="6" t="s">
        <v>20</v>
      </c>
      <c r="D29" s="199">
        <v>9320640.8099999987</v>
      </c>
      <c r="E29" s="295">
        <v>8367145.3999999994</v>
      </c>
      <c r="F29" s="71"/>
    </row>
    <row r="30" spans="2:6">
      <c r="B30" s="103" t="s">
        <v>6</v>
      </c>
      <c r="C30" s="6" t="s">
        <v>21</v>
      </c>
      <c r="D30" s="199"/>
      <c r="E30" s="295"/>
      <c r="F30" s="71"/>
    </row>
    <row r="31" spans="2:6">
      <c r="B31" s="103" t="s">
        <v>8</v>
      </c>
      <c r="C31" s="6" t="s">
        <v>22</v>
      </c>
      <c r="D31" s="199">
        <v>1081901.3599999999</v>
      </c>
      <c r="E31" s="295">
        <v>2006372.55</v>
      </c>
      <c r="F31" s="71"/>
    </row>
    <row r="32" spans="2:6">
      <c r="B32" s="91" t="s">
        <v>23</v>
      </c>
      <c r="C32" s="11" t="s">
        <v>24</v>
      </c>
      <c r="D32" s="198">
        <v>6584798.8900000006</v>
      </c>
      <c r="E32" s="293">
        <f>SUM(E33:E39)</f>
        <v>8672177.0299999993</v>
      </c>
      <c r="F32" s="71"/>
    </row>
    <row r="33" spans="2:6">
      <c r="B33" s="103" t="s">
        <v>4</v>
      </c>
      <c r="C33" s="6" t="s">
        <v>25</v>
      </c>
      <c r="D33" s="199">
        <v>4972994.9800000004</v>
      </c>
      <c r="E33" s="295">
        <f>6330050.35-21601.44</f>
        <v>6308448.9099999992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720809.29</v>
      </c>
      <c r="E35" s="295">
        <v>741743.33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890994.62</v>
      </c>
      <c r="E39" s="297">
        <v>1621984.79</v>
      </c>
      <c r="F39" s="71"/>
    </row>
    <row r="40" spans="2:6" ht="13.5" thickBot="1">
      <c r="B40" s="96" t="s">
        <v>35</v>
      </c>
      <c r="C40" s="97" t="s">
        <v>36</v>
      </c>
      <c r="D40" s="201">
        <v>328591.42</v>
      </c>
      <c r="E40" s="306">
        <v>407939.58</v>
      </c>
    </row>
    <row r="41" spans="2:6" ht="13.5" thickBot="1">
      <c r="B41" s="98" t="s">
        <v>37</v>
      </c>
      <c r="C41" s="99" t="s">
        <v>38</v>
      </c>
      <c r="D41" s="202">
        <v>74631778.160000011</v>
      </c>
      <c r="E41" s="147">
        <f>E26+E27+E40</f>
        <v>80538239.489999995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7.25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>
        <v>43646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01" t="s">
        <v>4</v>
      </c>
      <c r="C47" s="15" t="s">
        <v>40</v>
      </c>
      <c r="D47" s="203">
        <v>6267415.9493199997</v>
      </c>
      <c r="E47" s="73">
        <v>6897366.5948000001</v>
      </c>
    </row>
    <row r="48" spans="2:6">
      <c r="B48" s="122" t="s">
        <v>6</v>
      </c>
      <c r="C48" s="22" t="s">
        <v>41</v>
      </c>
      <c r="D48" s="203">
        <v>6606803.8951151725</v>
      </c>
      <c r="E48" s="316">
        <v>7047305.0256000003</v>
      </c>
    </row>
    <row r="49" spans="2:5">
      <c r="B49" s="119" t="s">
        <v>23</v>
      </c>
      <c r="C49" s="123" t="s">
        <v>113</v>
      </c>
      <c r="D49" s="204"/>
      <c r="E49" s="124"/>
    </row>
    <row r="50" spans="2:5">
      <c r="B50" s="101" t="s">
        <v>4</v>
      </c>
      <c r="C50" s="15" t="s">
        <v>40</v>
      </c>
      <c r="D50" s="203">
        <v>11.2463324645959</v>
      </c>
      <c r="E50" s="73">
        <v>11.370900000000001</v>
      </c>
    </row>
    <row r="51" spans="2:5">
      <c r="B51" s="101" t="s">
        <v>6</v>
      </c>
      <c r="C51" s="15" t="s">
        <v>114</v>
      </c>
      <c r="D51" s="203">
        <v>11.2463</v>
      </c>
      <c r="E51" s="340">
        <v>11.3017</v>
      </c>
    </row>
    <row r="52" spans="2:5" ht="12.75" customHeight="1">
      <c r="B52" s="101" t="s">
        <v>8</v>
      </c>
      <c r="C52" s="15" t="s">
        <v>115</v>
      </c>
      <c r="D52" s="203">
        <v>11.299200000000001</v>
      </c>
      <c r="E52" s="340">
        <v>11.4282</v>
      </c>
    </row>
    <row r="53" spans="2:5" ht="13.5" thickBot="1">
      <c r="B53" s="102" t="s">
        <v>9</v>
      </c>
      <c r="C53" s="17" t="s">
        <v>41</v>
      </c>
      <c r="D53" s="205">
        <v>11.296200000000001</v>
      </c>
      <c r="E53" s="317">
        <v>11.4282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80372778.359999999</v>
      </c>
      <c r="E58" s="31">
        <f>D58/E21</f>
        <v>0.99794555814669206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f>81407412.12-1314473.56</f>
        <v>80092938.560000002</v>
      </c>
      <c r="E64" s="80">
        <f>D64/E21</f>
        <v>0.99447093786976459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279839.8</v>
      </c>
      <c r="E69" s="78">
        <f>D69/E21</f>
        <v>3.4746202769275359E-3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202830.56</v>
      </c>
      <c r="E72" s="118">
        <f>D72/E21</f>
        <v>2.5184379654236717E-3</v>
      </c>
    </row>
    <row r="73" spans="2:5">
      <c r="B73" s="23" t="s">
        <v>62</v>
      </c>
      <c r="C73" s="24" t="s">
        <v>65</v>
      </c>
      <c r="D73" s="25">
        <f>E17</f>
        <v>37369.43</v>
      </c>
      <c r="E73" s="26">
        <f>D73/E21</f>
        <v>4.639961121156611E-4</v>
      </c>
    </row>
    <row r="74" spans="2:5">
      <c r="B74" s="119" t="s">
        <v>64</v>
      </c>
      <c r="C74" s="120" t="s">
        <v>66</v>
      </c>
      <c r="D74" s="121">
        <f>D58+D71+D72-D73</f>
        <v>80538239.489999995</v>
      </c>
      <c r="E74" s="66">
        <f>E58+E72-E73</f>
        <v>1.0000000000000002</v>
      </c>
    </row>
    <row r="75" spans="2:5">
      <c r="B75" s="14" t="s">
        <v>4</v>
      </c>
      <c r="C75" s="15" t="s">
        <v>67</v>
      </c>
      <c r="D75" s="77">
        <f>D74</f>
        <v>80538239.489999995</v>
      </c>
      <c r="E75" s="78">
        <f>E74</f>
        <v>1.0000000000000002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83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26495747.399999999</v>
      </c>
      <c r="E11" s="229">
        <f>SUM(E12:E14)</f>
        <v>25285200.920000002</v>
      </c>
    </row>
    <row r="12" spans="2:7">
      <c r="B12" s="170" t="s">
        <v>4</v>
      </c>
      <c r="C12" s="171" t="s">
        <v>5</v>
      </c>
      <c r="D12" s="245">
        <v>26495747.399999999</v>
      </c>
      <c r="E12" s="251">
        <v>25285200.920000002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26495747.399999999</v>
      </c>
      <c r="E21" s="147">
        <f>E11-E17</f>
        <v>25285200.920000002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21472235.779999997</v>
      </c>
      <c r="E26" s="219">
        <f>D21</f>
        <v>26495747.399999999</v>
      </c>
    </row>
    <row r="27" spans="2:6">
      <c r="B27" s="9" t="s">
        <v>17</v>
      </c>
      <c r="C27" s="10" t="s">
        <v>111</v>
      </c>
      <c r="D27" s="198">
        <v>-92991.469999999972</v>
      </c>
      <c r="E27" s="292">
        <f>E28-E32</f>
        <v>-710488.17000000016</v>
      </c>
      <c r="F27" s="71"/>
    </row>
    <row r="28" spans="2:6">
      <c r="B28" s="9" t="s">
        <v>18</v>
      </c>
      <c r="C28" s="10" t="s">
        <v>19</v>
      </c>
      <c r="D28" s="198">
        <v>1029293.97</v>
      </c>
      <c r="E28" s="293">
        <v>900916.77</v>
      </c>
      <c r="F28" s="71"/>
    </row>
    <row r="29" spans="2:6">
      <c r="B29" s="178" t="s">
        <v>4</v>
      </c>
      <c r="C29" s="171" t="s">
        <v>20</v>
      </c>
      <c r="D29" s="199">
        <v>1029293.97</v>
      </c>
      <c r="E29" s="295">
        <v>900916.77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1122285.44</v>
      </c>
      <c r="E32" s="293">
        <f>SUM(E33:E39)</f>
        <v>1611404.9400000002</v>
      </c>
      <c r="F32" s="71"/>
    </row>
    <row r="33" spans="2:6">
      <c r="B33" s="178" t="s">
        <v>4</v>
      </c>
      <c r="C33" s="171" t="s">
        <v>25</v>
      </c>
      <c r="D33" s="199">
        <v>1122285.44</v>
      </c>
      <c r="E33" s="295">
        <f>1594203.59+17201.34+0.01</f>
        <v>1611404.9400000002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/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2483969.7200000002</v>
      </c>
      <c r="E40" s="306">
        <v>-500058.31</v>
      </c>
    </row>
    <row r="41" spans="2:6" ht="13.5" thickBot="1">
      <c r="B41" s="98" t="s">
        <v>37</v>
      </c>
      <c r="C41" s="99" t="s">
        <v>38</v>
      </c>
      <c r="D41" s="202">
        <v>23863214.029999997</v>
      </c>
      <c r="E41" s="147">
        <f>E26+E27+E40</f>
        <v>25285200.919999998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325">
        <v>1117798.3581000001</v>
      </c>
      <c r="E47" s="148">
        <v>1081657.7492</v>
      </c>
    </row>
    <row r="48" spans="2:6">
      <c r="B48" s="183" t="s">
        <v>6</v>
      </c>
      <c r="C48" s="184" t="s">
        <v>41</v>
      </c>
      <c r="D48" s="325">
        <v>1113682.7332421725</v>
      </c>
      <c r="E48" s="148">
        <v>1051770.7927000001</v>
      </c>
    </row>
    <row r="49" spans="2:5">
      <c r="B49" s="119" t="s">
        <v>23</v>
      </c>
      <c r="C49" s="123" t="s">
        <v>113</v>
      </c>
      <c r="D49" s="280"/>
      <c r="E49" s="148"/>
    </row>
    <row r="50" spans="2:5">
      <c r="B50" s="181" t="s">
        <v>4</v>
      </c>
      <c r="C50" s="182" t="s">
        <v>40</v>
      </c>
      <c r="D50" s="325">
        <v>19.209399999999999</v>
      </c>
      <c r="E50" s="148">
        <v>24.4955</v>
      </c>
    </row>
    <row r="51" spans="2:5">
      <c r="B51" s="181" t="s">
        <v>6</v>
      </c>
      <c r="C51" s="182" t="s">
        <v>114</v>
      </c>
      <c r="D51" s="325">
        <v>19.1859</v>
      </c>
      <c r="E51" s="74">
        <v>22.2988</v>
      </c>
    </row>
    <row r="52" spans="2:5">
      <c r="B52" s="181" t="s">
        <v>8</v>
      </c>
      <c r="C52" s="182" t="s">
        <v>115</v>
      </c>
      <c r="D52" s="325">
        <v>21.565100000000001</v>
      </c>
      <c r="E52" s="74">
        <v>25.5197</v>
      </c>
    </row>
    <row r="53" spans="2:5" ht="13.5" customHeight="1" thickBot="1">
      <c r="B53" s="185" t="s">
        <v>9</v>
      </c>
      <c r="C53" s="186" t="s">
        <v>41</v>
      </c>
      <c r="D53" s="331">
        <v>21.427299999999999</v>
      </c>
      <c r="E53" s="309">
        <v>24.040600000000001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25285200.920000002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25285200.920000002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25285200.920000002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v>0</v>
      </c>
      <c r="E75" s="78">
        <v>0</v>
      </c>
    </row>
    <row r="76" spans="2:5">
      <c r="B76" s="101" t="s">
        <v>6</v>
      </c>
      <c r="C76" s="15" t="s">
        <v>119</v>
      </c>
      <c r="D76" s="77">
        <f>D74</f>
        <v>25285200.920000002</v>
      </c>
      <c r="E76" s="78">
        <f>E74</f>
        <v>1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186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1782520.5999999999</v>
      </c>
      <c r="E11" s="229">
        <f>SUM(E12:E14)</f>
        <v>1014096.94</v>
      </c>
    </row>
    <row r="12" spans="2:7">
      <c r="B12" s="170" t="s">
        <v>4</v>
      </c>
      <c r="C12" s="171" t="s">
        <v>5</v>
      </c>
      <c r="D12" s="245">
        <v>1782520.5999999999</v>
      </c>
      <c r="E12" s="251">
        <v>1014096.94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1782520.5999999999</v>
      </c>
      <c r="E21" s="147">
        <f>E11-E17</f>
        <v>1014096.94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2352660.69</v>
      </c>
      <c r="E26" s="219">
        <f>D21</f>
        <v>1782520.5999999999</v>
      </c>
    </row>
    <row r="27" spans="2:6">
      <c r="B27" s="9" t="s">
        <v>17</v>
      </c>
      <c r="C27" s="10" t="s">
        <v>111</v>
      </c>
      <c r="D27" s="198">
        <v>-279410.74000000005</v>
      </c>
      <c r="E27" s="292">
        <f>E28-E32</f>
        <v>-462464.91</v>
      </c>
      <c r="F27" s="71"/>
    </row>
    <row r="28" spans="2:6">
      <c r="B28" s="9" t="s">
        <v>18</v>
      </c>
      <c r="C28" s="10" t="s">
        <v>19</v>
      </c>
      <c r="D28" s="198">
        <v>16040.68</v>
      </c>
      <c r="E28" s="293">
        <v>61492.820000000007</v>
      </c>
      <c r="F28" s="71"/>
    </row>
    <row r="29" spans="2:6">
      <c r="B29" s="178" t="s">
        <v>4</v>
      </c>
      <c r="C29" s="171" t="s">
        <v>20</v>
      </c>
      <c r="D29" s="199">
        <v>15802.02</v>
      </c>
      <c r="E29" s="295">
        <v>13857.41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238.66</v>
      </c>
      <c r="E31" s="295">
        <v>47635.41</v>
      </c>
      <c r="F31" s="71"/>
    </row>
    <row r="32" spans="2:6">
      <c r="B32" s="91" t="s">
        <v>23</v>
      </c>
      <c r="C32" s="11" t="s">
        <v>24</v>
      </c>
      <c r="D32" s="198">
        <v>295451.42000000004</v>
      </c>
      <c r="E32" s="293">
        <f>SUM(E33:E39)</f>
        <v>523957.73</v>
      </c>
      <c r="F32" s="71"/>
    </row>
    <row r="33" spans="2:6">
      <c r="B33" s="178" t="s">
        <v>4</v>
      </c>
      <c r="C33" s="171" t="s">
        <v>25</v>
      </c>
      <c r="D33" s="199">
        <v>272687.31</v>
      </c>
      <c r="E33" s="295">
        <f>66780.98-14.05</f>
        <v>66766.929999999993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4552.08</v>
      </c>
      <c r="E35" s="295">
        <v>2371.36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18212.03</v>
      </c>
      <c r="E37" s="295">
        <v>10488.9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444330.54</v>
      </c>
      <c r="F39" s="71"/>
    </row>
    <row r="40" spans="2:6" ht="13.5" thickBot="1">
      <c r="B40" s="96" t="s">
        <v>35</v>
      </c>
      <c r="C40" s="97" t="s">
        <v>36</v>
      </c>
      <c r="D40" s="201">
        <v>79116.100000000006</v>
      </c>
      <c r="E40" s="306">
        <v>-305958.75</v>
      </c>
    </row>
    <row r="41" spans="2:6" ht="13.5" thickBot="1">
      <c r="B41" s="98" t="s">
        <v>37</v>
      </c>
      <c r="C41" s="99" t="s">
        <v>38</v>
      </c>
      <c r="D41" s="202">
        <v>2152366.0499999998</v>
      </c>
      <c r="E41" s="147">
        <f>E26+E27+E40</f>
        <v>1014096.94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7814.0716000000002</v>
      </c>
      <c r="E47" s="148">
        <v>5862.2047869999997</v>
      </c>
    </row>
    <row r="48" spans="2:6">
      <c r="B48" s="183" t="s">
        <v>6</v>
      </c>
      <c r="C48" s="184" t="s">
        <v>41</v>
      </c>
      <c r="D48" s="203">
        <v>6905.0272689358699</v>
      </c>
      <c r="E48" s="148">
        <v>3755.2191769999999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301.08</v>
      </c>
      <c r="E50" s="148">
        <v>304.07</v>
      </c>
    </row>
    <row r="51" spans="2:5">
      <c r="B51" s="181" t="s">
        <v>6</v>
      </c>
      <c r="C51" s="182" t="s">
        <v>114</v>
      </c>
      <c r="D51" s="203">
        <v>292.57</v>
      </c>
      <c r="E51" s="74">
        <v>207.64</v>
      </c>
    </row>
    <row r="52" spans="2:5">
      <c r="B52" s="181" t="s">
        <v>8</v>
      </c>
      <c r="C52" s="182" t="s">
        <v>115</v>
      </c>
      <c r="D52" s="203">
        <v>318.66000000000003</v>
      </c>
      <c r="E52" s="74">
        <v>312.81</v>
      </c>
    </row>
    <row r="53" spans="2:5" ht="13.5" customHeight="1" thickBot="1">
      <c r="B53" s="185" t="s">
        <v>9</v>
      </c>
      <c r="C53" s="186" t="s">
        <v>41</v>
      </c>
      <c r="D53" s="205">
        <v>311.70999999999998</v>
      </c>
      <c r="E53" s="309">
        <v>270.05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1014096.94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1014096.94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1014096.94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1014096.94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187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1076420.6200000001</v>
      </c>
      <c r="E11" s="229">
        <f>SUM(E12:E14)</f>
        <v>1157272.53</v>
      </c>
    </row>
    <row r="12" spans="2:7">
      <c r="B12" s="170" t="s">
        <v>4</v>
      </c>
      <c r="C12" s="171" t="s">
        <v>5</v>
      </c>
      <c r="D12" s="245">
        <v>1076420.6200000001</v>
      </c>
      <c r="E12" s="251">
        <v>1157272.53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1076420.6200000001</v>
      </c>
      <c r="E21" s="147">
        <f>E11-E17</f>
        <v>1157272.53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830081.62</v>
      </c>
      <c r="E26" s="219">
        <f>D21</f>
        <v>1076420.6200000001</v>
      </c>
    </row>
    <row r="27" spans="2:6">
      <c r="B27" s="9" t="s">
        <v>17</v>
      </c>
      <c r="C27" s="10" t="s">
        <v>111</v>
      </c>
      <c r="D27" s="198">
        <v>7092689.4100000001</v>
      </c>
      <c r="E27" s="292">
        <f>E28-E32</f>
        <v>21919.01999999996</v>
      </c>
      <c r="F27" s="71"/>
    </row>
    <row r="28" spans="2:6">
      <c r="B28" s="9" t="s">
        <v>18</v>
      </c>
      <c r="C28" s="10" t="s">
        <v>19</v>
      </c>
      <c r="D28" s="198">
        <v>7179275.79</v>
      </c>
      <c r="E28" s="293">
        <f>E29+E31</f>
        <v>286773.84999999998</v>
      </c>
      <c r="F28" s="71"/>
    </row>
    <row r="29" spans="2:6">
      <c r="B29" s="178" t="s">
        <v>4</v>
      </c>
      <c r="C29" s="171" t="s">
        <v>20</v>
      </c>
      <c r="D29" s="199">
        <v>6064.6</v>
      </c>
      <c r="E29" s="295">
        <v>9468.7900000000009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7173211.1900000004</v>
      </c>
      <c r="E31" s="295">
        <v>277305.06</v>
      </c>
      <c r="F31" s="71"/>
    </row>
    <row r="32" spans="2:6">
      <c r="B32" s="91" t="s">
        <v>23</v>
      </c>
      <c r="C32" s="11" t="s">
        <v>24</v>
      </c>
      <c r="D32" s="198">
        <v>86586.38</v>
      </c>
      <c r="E32" s="293">
        <f>SUM(E33:E39)</f>
        <v>264854.83</v>
      </c>
      <c r="F32" s="71"/>
    </row>
    <row r="33" spans="2:6">
      <c r="B33" s="178" t="s">
        <v>4</v>
      </c>
      <c r="C33" s="171" t="s">
        <v>25</v>
      </c>
      <c r="D33" s="199">
        <v>30174.14</v>
      </c>
      <c r="E33" s="295">
        <f>79473.84+541.19</f>
        <v>80015.03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2234.91</v>
      </c>
      <c r="E35" s="295">
        <v>2906.03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45439.15</v>
      </c>
      <c r="E37" s="295">
        <v>7538.95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8738.18</v>
      </c>
      <c r="E39" s="297">
        <v>174394.82</v>
      </c>
      <c r="F39" s="71"/>
    </row>
    <row r="40" spans="2:6" ht="13.5" thickBot="1">
      <c r="B40" s="96" t="s">
        <v>35</v>
      </c>
      <c r="C40" s="97" t="s">
        <v>36</v>
      </c>
      <c r="D40" s="201">
        <v>184503.67999999999</v>
      </c>
      <c r="E40" s="306">
        <v>58932.89</v>
      </c>
    </row>
    <row r="41" spans="2:6" ht="13.5" thickBot="1">
      <c r="B41" s="98" t="s">
        <v>37</v>
      </c>
      <c r="C41" s="99" t="s">
        <v>38</v>
      </c>
      <c r="D41" s="202">
        <v>8107274.71</v>
      </c>
      <c r="E41" s="147">
        <f>E26+E27+E40</f>
        <v>1157272.53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2669.4160999999999</v>
      </c>
      <c r="E47" s="148">
        <v>3294.6272800000002</v>
      </c>
    </row>
    <row r="48" spans="2:6">
      <c r="B48" s="183" t="s">
        <v>6</v>
      </c>
      <c r="C48" s="184" t="s">
        <v>41</v>
      </c>
      <c r="D48" s="203">
        <v>25459.34779</v>
      </c>
      <c r="E48" s="148">
        <v>3349.7525999999998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310.95999999999998</v>
      </c>
      <c r="E50" s="148">
        <v>326.72000000000003</v>
      </c>
    </row>
    <row r="51" spans="2:5">
      <c r="B51" s="181" t="s">
        <v>6</v>
      </c>
      <c r="C51" s="182" t="s">
        <v>114</v>
      </c>
      <c r="D51" s="203">
        <v>310.79000000000002</v>
      </c>
      <c r="E51" s="74">
        <v>325.04000000000002</v>
      </c>
    </row>
    <row r="52" spans="2:5">
      <c r="B52" s="181" t="s">
        <v>8</v>
      </c>
      <c r="C52" s="182" t="s">
        <v>115</v>
      </c>
      <c r="D52" s="203">
        <v>319.14</v>
      </c>
      <c r="E52" s="74">
        <v>345.64</v>
      </c>
    </row>
    <row r="53" spans="2:5" ht="12.75" customHeight="1" thickBot="1">
      <c r="B53" s="185" t="s">
        <v>9</v>
      </c>
      <c r="C53" s="186" t="s">
        <v>41</v>
      </c>
      <c r="D53" s="205">
        <v>318.44</v>
      </c>
      <c r="E53" s="309">
        <v>345.48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1157272.53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1157272.53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1157272.53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1157272.53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37"/>
      <c r="C4" s="137"/>
      <c r="D4" s="137"/>
      <c r="E4" s="137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245</v>
      </c>
      <c r="C6" s="351"/>
      <c r="D6" s="351"/>
      <c r="E6" s="351"/>
    </row>
    <row r="7" spans="2:5" ht="14.25">
      <c r="B7" s="135"/>
      <c r="C7" s="135"/>
      <c r="D7" s="135"/>
      <c r="E7" s="135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6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16385.25</v>
      </c>
      <c r="E11" s="229">
        <f>SUM(E12:E14)</f>
        <v>12822.81</v>
      </c>
    </row>
    <row r="12" spans="2:5">
      <c r="B12" s="170" t="s">
        <v>4</v>
      </c>
      <c r="C12" s="171" t="s">
        <v>5</v>
      </c>
      <c r="D12" s="245">
        <v>16385.25</v>
      </c>
      <c r="E12" s="251">
        <v>12822.81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16385.25</v>
      </c>
      <c r="E21" s="147">
        <f>E11-E17</f>
        <v>12822.81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105306.51999999999</v>
      </c>
      <c r="E26" s="219">
        <f>D21</f>
        <v>16385.25</v>
      </c>
    </row>
    <row r="27" spans="2:6">
      <c r="B27" s="9" t="s">
        <v>17</v>
      </c>
      <c r="C27" s="10" t="s">
        <v>111</v>
      </c>
      <c r="D27" s="198">
        <v>-1381.8700000000008</v>
      </c>
      <c r="E27" s="292">
        <f>E28-E32</f>
        <v>-2573.3799999999997</v>
      </c>
      <c r="F27" s="71"/>
    </row>
    <row r="28" spans="2:6">
      <c r="B28" s="9" t="s">
        <v>18</v>
      </c>
      <c r="C28" s="10" t="s">
        <v>19</v>
      </c>
      <c r="D28" s="198">
        <v>4528.6899999999996</v>
      </c>
      <c r="E28" s="293">
        <v>663.9</v>
      </c>
      <c r="F28" s="71"/>
    </row>
    <row r="29" spans="2:6">
      <c r="B29" s="178" t="s">
        <v>4</v>
      </c>
      <c r="C29" s="171" t="s">
        <v>20</v>
      </c>
      <c r="D29" s="199">
        <v>4528.6899999999996</v>
      </c>
      <c r="E29" s="295">
        <v>663.9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5910.56</v>
      </c>
      <c r="E32" s="293">
        <f>SUM(E33:E39)</f>
        <v>3237.2799999999997</v>
      </c>
      <c r="F32" s="71"/>
    </row>
    <row r="33" spans="2:6">
      <c r="B33" s="178" t="s">
        <v>4</v>
      </c>
      <c r="C33" s="171" t="s">
        <v>25</v>
      </c>
      <c r="D33" s="199">
        <v>4824.71</v>
      </c>
      <c r="E33" s="295">
        <f>1170.32-108.83</f>
        <v>1061.49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119.93</v>
      </c>
      <c r="E35" s="295">
        <v>82.48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965.92</v>
      </c>
      <c r="E37" s="295">
        <v>90.23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2003.08</v>
      </c>
      <c r="F39" s="71"/>
    </row>
    <row r="40" spans="2:6" ht="13.5" thickBot="1">
      <c r="B40" s="96" t="s">
        <v>35</v>
      </c>
      <c r="C40" s="97" t="s">
        <v>36</v>
      </c>
      <c r="D40" s="201">
        <v>4053.39</v>
      </c>
      <c r="E40" s="306">
        <v>-989.06</v>
      </c>
    </row>
    <row r="41" spans="2:6" ht="13.5" thickBot="1">
      <c r="B41" s="98" t="s">
        <v>37</v>
      </c>
      <c r="C41" s="99" t="s">
        <v>38</v>
      </c>
      <c r="D41" s="202">
        <v>107978.04</v>
      </c>
      <c r="E41" s="147">
        <f>E26+E27+E40</f>
        <v>12822.810000000001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750.90216999999996</v>
      </c>
      <c r="E47" s="148">
        <v>113.62861700000001</v>
      </c>
    </row>
    <row r="48" spans="2:6">
      <c r="B48" s="183" t="s">
        <v>6</v>
      </c>
      <c r="C48" s="184" t="s">
        <v>41</v>
      </c>
      <c r="D48" s="203">
        <v>740.64092187392839</v>
      </c>
      <c r="E48" s="148">
        <v>95.642686999999995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140.24</v>
      </c>
      <c r="E50" s="148">
        <v>144.19999999999999</v>
      </c>
    </row>
    <row r="51" spans="2:5">
      <c r="B51" s="181" t="s">
        <v>6</v>
      </c>
      <c r="C51" s="182" t="s">
        <v>114</v>
      </c>
      <c r="D51" s="203">
        <v>137.15</v>
      </c>
      <c r="E51" s="74">
        <v>103.79</v>
      </c>
    </row>
    <row r="52" spans="2:5">
      <c r="B52" s="181" t="s">
        <v>8</v>
      </c>
      <c r="C52" s="182" t="s">
        <v>115</v>
      </c>
      <c r="D52" s="203">
        <v>154.70000000000002</v>
      </c>
      <c r="E52" s="74">
        <v>150.69</v>
      </c>
    </row>
    <row r="53" spans="2:5" ht="13.5" customHeight="1" thickBot="1">
      <c r="B53" s="185" t="s">
        <v>9</v>
      </c>
      <c r="C53" s="186" t="s">
        <v>41</v>
      </c>
      <c r="D53" s="205">
        <v>145.79</v>
      </c>
      <c r="E53" s="309">
        <v>134.07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12822.81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12822.81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12822.81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12822.81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188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16010.75</v>
      </c>
      <c r="E11" s="229">
        <f>SUM(E12:E14)</f>
        <v>15718.01</v>
      </c>
    </row>
    <row r="12" spans="2:7">
      <c r="B12" s="170" t="s">
        <v>4</v>
      </c>
      <c r="C12" s="171" t="s">
        <v>5</v>
      </c>
      <c r="D12" s="245">
        <v>16010.75</v>
      </c>
      <c r="E12" s="251">
        <v>15718.01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16010.75</v>
      </c>
      <c r="E21" s="147">
        <f>E11-E17</f>
        <v>15718.01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16442.86</v>
      </c>
      <c r="E26" s="219">
        <f>D21</f>
        <v>16010.75</v>
      </c>
    </row>
    <row r="27" spans="2:6">
      <c r="B27" s="9" t="s">
        <v>17</v>
      </c>
      <c r="C27" s="10" t="s">
        <v>111</v>
      </c>
      <c r="D27" s="198">
        <v>-1077.95</v>
      </c>
      <c r="E27" s="292">
        <v>-100.57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1077.95</v>
      </c>
      <c r="E32" s="293">
        <f>SUM(E33:E39)</f>
        <v>100.57</v>
      </c>
      <c r="F32" s="71"/>
    </row>
    <row r="33" spans="2:6">
      <c r="B33" s="178" t="s">
        <v>4</v>
      </c>
      <c r="C33" s="171" t="s">
        <v>25</v>
      </c>
      <c r="D33" s="199">
        <v>963.17</v>
      </c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16.09</v>
      </c>
      <c r="E35" s="295">
        <v>14.69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98.69</v>
      </c>
      <c r="E37" s="295">
        <v>85.88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1312.79</v>
      </c>
      <c r="E40" s="306">
        <v>-192.17</v>
      </c>
    </row>
    <row r="41" spans="2:6" ht="13.5" thickBot="1">
      <c r="B41" s="98" t="s">
        <v>37</v>
      </c>
      <c r="C41" s="99" t="s">
        <v>38</v>
      </c>
      <c r="D41" s="202">
        <v>16677.7</v>
      </c>
      <c r="E41" s="147">
        <f>E26+E27+E40</f>
        <v>15718.01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90.023899999999998</v>
      </c>
      <c r="E47" s="148">
        <v>83.77328</v>
      </c>
    </row>
    <row r="48" spans="2:6">
      <c r="B48" s="183" t="s">
        <v>6</v>
      </c>
      <c r="C48" s="184" t="s">
        <v>41</v>
      </c>
      <c r="D48" s="203">
        <v>84.563938748605622</v>
      </c>
      <c r="E48" s="148">
        <v>83.199290000000005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182.65</v>
      </c>
      <c r="E50" s="148">
        <v>191.12</v>
      </c>
    </row>
    <row r="51" spans="2:5">
      <c r="B51" s="181" t="s">
        <v>6</v>
      </c>
      <c r="C51" s="182" t="s">
        <v>114</v>
      </c>
      <c r="D51" s="203">
        <v>182.65</v>
      </c>
      <c r="E51" s="74">
        <v>144.97</v>
      </c>
    </row>
    <row r="52" spans="2:5">
      <c r="B52" s="181" t="s">
        <v>8</v>
      </c>
      <c r="C52" s="182" t="s">
        <v>115</v>
      </c>
      <c r="D52" s="203">
        <v>200.97</v>
      </c>
      <c r="E52" s="74">
        <v>202.27</v>
      </c>
    </row>
    <row r="53" spans="2:5" ht="14.25" customHeight="1" thickBot="1">
      <c r="B53" s="185" t="s">
        <v>9</v>
      </c>
      <c r="C53" s="186" t="s">
        <v>41</v>
      </c>
      <c r="D53" s="205">
        <v>197.22</v>
      </c>
      <c r="E53" s="309">
        <v>188.92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15718.01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15718.01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15718.01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15718.01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189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4523465.21</v>
      </c>
      <c r="E11" s="229">
        <f>SUM(E12:E14)</f>
        <v>2986910.89</v>
      </c>
    </row>
    <row r="12" spans="2:7">
      <c r="B12" s="170" t="s">
        <v>4</v>
      </c>
      <c r="C12" s="171" t="s">
        <v>5</v>
      </c>
      <c r="D12" s="245">
        <v>4523465.21</v>
      </c>
      <c r="E12" s="251">
        <v>2986910.89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4523465.21</v>
      </c>
      <c r="E21" s="147">
        <f>E11-E17</f>
        <v>2986910.89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5339211.8</v>
      </c>
      <c r="E26" s="219">
        <f>D21</f>
        <v>4523465.21</v>
      </c>
    </row>
    <row r="27" spans="2:6">
      <c r="B27" s="9" t="s">
        <v>17</v>
      </c>
      <c r="C27" s="10" t="s">
        <v>111</v>
      </c>
      <c r="D27" s="198">
        <v>-1245897.1099999999</v>
      </c>
      <c r="E27" s="292">
        <f>E28-E32</f>
        <v>-1001834.31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2992.98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2992.98</v>
      </c>
      <c r="F31" s="71"/>
    </row>
    <row r="32" spans="2:6">
      <c r="B32" s="91" t="s">
        <v>23</v>
      </c>
      <c r="C32" s="11" t="s">
        <v>24</v>
      </c>
      <c r="D32" s="198">
        <v>1245897.1099999999</v>
      </c>
      <c r="E32" s="293">
        <v>1004827.29</v>
      </c>
      <c r="F32" s="71"/>
    </row>
    <row r="33" spans="2:6">
      <c r="B33" s="178" t="s">
        <v>4</v>
      </c>
      <c r="C33" s="171" t="s">
        <v>25</v>
      </c>
      <c r="D33" s="199">
        <v>45690.69</v>
      </c>
      <c r="E33" s="295">
        <v>961416.02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12052.68</v>
      </c>
      <c r="E35" s="295">
        <v>14350.66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37667</v>
      </c>
      <c r="E37" s="295">
        <v>29060.61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1150486.74</v>
      </c>
      <c r="E39" s="297"/>
      <c r="F39" s="71"/>
    </row>
    <row r="40" spans="2:6" ht="13.5" thickBot="1">
      <c r="B40" s="96" t="s">
        <v>35</v>
      </c>
      <c r="C40" s="97" t="s">
        <v>36</v>
      </c>
      <c r="D40" s="201">
        <v>629002.01</v>
      </c>
      <c r="E40" s="306">
        <v>-534720.01</v>
      </c>
    </row>
    <row r="41" spans="2:6" ht="13.5" thickBot="1">
      <c r="B41" s="98" t="s">
        <v>37</v>
      </c>
      <c r="C41" s="99" t="s">
        <v>38</v>
      </c>
      <c r="D41" s="202">
        <v>4722316.7</v>
      </c>
      <c r="E41" s="147">
        <f>E26+E27+E40</f>
        <v>2986910.8899999997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36024.639300000003</v>
      </c>
      <c r="E47" s="148">
        <v>24924.046539999999</v>
      </c>
    </row>
    <row r="48" spans="2:6">
      <c r="B48" s="183" t="s">
        <v>6</v>
      </c>
      <c r="C48" s="184" t="s">
        <v>41</v>
      </c>
      <c r="D48" s="203">
        <v>27750.582969999999</v>
      </c>
      <c r="E48" s="148">
        <v>18859.141869999999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148.21</v>
      </c>
      <c r="E50" s="148">
        <v>181.49</v>
      </c>
    </row>
    <row r="51" spans="2:5">
      <c r="B51" s="181" t="s">
        <v>6</v>
      </c>
      <c r="C51" s="182" t="s">
        <v>114</v>
      </c>
      <c r="D51" s="203">
        <v>147.83000000000001</v>
      </c>
      <c r="E51" s="74">
        <v>122.21</v>
      </c>
    </row>
    <row r="52" spans="2:5">
      <c r="B52" s="181" t="s">
        <v>8</v>
      </c>
      <c r="C52" s="182" t="s">
        <v>115</v>
      </c>
      <c r="D52" s="203">
        <v>173.26</v>
      </c>
      <c r="E52" s="74">
        <v>189.48</v>
      </c>
    </row>
    <row r="53" spans="2:5" ht="12.75" customHeight="1" thickBot="1">
      <c r="B53" s="185" t="s">
        <v>9</v>
      </c>
      <c r="C53" s="186" t="s">
        <v>41</v>
      </c>
      <c r="D53" s="205">
        <v>170.17</v>
      </c>
      <c r="E53" s="309">
        <v>158.38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2986910.89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2986910.89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2986910.89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2986910.89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F81"/>
  <sheetViews>
    <sheetView zoomScale="80" zoomScaleNormal="80" workbookViewId="0">
      <selection activeCell="G1" sqref="G1:M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37"/>
      <c r="C4" s="137"/>
      <c r="D4" s="137"/>
      <c r="E4" s="137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190</v>
      </c>
      <c r="C6" s="351"/>
      <c r="D6" s="351"/>
      <c r="E6" s="351"/>
    </row>
    <row r="7" spans="2:5" ht="14.25">
      <c r="B7" s="135"/>
      <c r="C7" s="135"/>
      <c r="D7" s="135"/>
      <c r="E7" s="135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6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6222312.5700000003</v>
      </c>
      <c r="E11" s="229">
        <f>SUM(E12:E14)</f>
        <v>4648914.9400000004</v>
      </c>
    </row>
    <row r="12" spans="2:5">
      <c r="B12" s="170" t="s">
        <v>4</v>
      </c>
      <c r="C12" s="171" t="s">
        <v>5</v>
      </c>
      <c r="D12" s="245">
        <v>6222312.5700000003</v>
      </c>
      <c r="E12" s="251">
        <v>4648914.9400000004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6222312.5700000003</v>
      </c>
      <c r="E21" s="147">
        <f>E11-E17</f>
        <v>4648914.9400000004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12495527.130000001</v>
      </c>
      <c r="E26" s="219">
        <f>D21</f>
        <v>6222312.5700000003</v>
      </c>
    </row>
    <row r="27" spans="2:6">
      <c r="B27" s="9" t="s">
        <v>17</v>
      </c>
      <c r="C27" s="10" t="s">
        <v>111</v>
      </c>
      <c r="D27" s="198">
        <v>-5146493.4700000007</v>
      </c>
      <c r="E27" s="292">
        <f>E28-E32</f>
        <v>-1247880.24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300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300</v>
      </c>
      <c r="F31" s="71"/>
    </row>
    <row r="32" spans="2:6">
      <c r="B32" s="91" t="s">
        <v>23</v>
      </c>
      <c r="C32" s="11" t="s">
        <v>24</v>
      </c>
      <c r="D32" s="198">
        <v>5146493.4700000007</v>
      </c>
      <c r="E32" s="293">
        <f>SUM(E33:E39)</f>
        <v>1248180.24</v>
      </c>
      <c r="F32" s="71"/>
    </row>
    <row r="33" spans="2:6">
      <c r="B33" s="178" t="s">
        <v>4</v>
      </c>
      <c r="C33" s="171" t="s">
        <v>25</v>
      </c>
      <c r="D33" s="199">
        <v>213466.68</v>
      </c>
      <c r="E33" s="295">
        <v>1187330.53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8818.16</v>
      </c>
      <c r="E35" s="295">
        <v>10489.41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75481.929999999993</v>
      </c>
      <c r="E37" s="295">
        <v>48030.46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4848726.7</v>
      </c>
      <c r="E39" s="297">
        <v>2329.84</v>
      </c>
      <c r="F39" s="71"/>
    </row>
    <row r="40" spans="2:6" ht="13.5" thickBot="1">
      <c r="B40" s="96" t="s">
        <v>35</v>
      </c>
      <c r="C40" s="97" t="s">
        <v>36</v>
      </c>
      <c r="D40" s="201">
        <v>779315.7</v>
      </c>
      <c r="E40" s="306">
        <v>-325517.39</v>
      </c>
    </row>
    <row r="41" spans="2:6" ht="13.5" thickBot="1">
      <c r="B41" s="98" t="s">
        <v>37</v>
      </c>
      <c r="C41" s="99" t="s">
        <v>38</v>
      </c>
      <c r="D41" s="202">
        <v>8128349.3600000003</v>
      </c>
      <c r="E41" s="147">
        <f>E26+E27+E40</f>
        <v>4648914.9400000004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73339.166200000007</v>
      </c>
      <c r="E47" s="148">
        <v>33056.965250000001</v>
      </c>
    </row>
    <row r="48" spans="2:6">
      <c r="B48" s="183" t="s">
        <v>6</v>
      </c>
      <c r="C48" s="184" t="s">
        <v>41</v>
      </c>
      <c r="D48" s="203">
        <v>44322.75129</v>
      </c>
      <c r="E48" s="148">
        <v>26140.997169999999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170.38</v>
      </c>
      <c r="E50" s="148">
        <v>188.23</v>
      </c>
    </row>
    <row r="51" spans="2:5">
      <c r="B51" s="181" t="s">
        <v>6</v>
      </c>
      <c r="C51" s="182" t="s">
        <v>114</v>
      </c>
      <c r="D51" s="203">
        <v>170.36</v>
      </c>
      <c r="E51" s="148">
        <v>150.76</v>
      </c>
    </row>
    <row r="52" spans="2:5">
      <c r="B52" s="181" t="s">
        <v>8</v>
      </c>
      <c r="C52" s="182" t="s">
        <v>115</v>
      </c>
      <c r="D52" s="203">
        <v>183.83</v>
      </c>
      <c r="E52" s="74">
        <v>189.87</v>
      </c>
    </row>
    <row r="53" spans="2:5" ht="13.5" customHeight="1" thickBot="1">
      <c r="B53" s="185" t="s">
        <v>9</v>
      </c>
      <c r="C53" s="186" t="s">
        <v>41</v>
      </c>
      <c r="D53" s="205">
        <v>183.39</v>
      </c>
      <c r="E53" s="309">
        <v>177.84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4648914.9400000004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4648914.9400000004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4648914.9400000004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4648914.9400000004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F81"/>
  <sheetViews>
    <sheetView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37"/>
      <c r="C4" s="137"/>
      <c r="D4" s="137"/>
      <c r="E4" s="137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191</v>
      </c>
      <c r="C6" s="351"/>
      <c r="D6" s="351"/>
      <c r="E6" s="351"/>
    </row>
    <row r="7" spans="2:5" ht="14.25">
      <c r="B7" s="135"/>
      <c r="C7" s="135"/>
      <c r="D7" s="135"/>
      <c r="E7" s="135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6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5901768.1600000001</v>
      </c>
      <c r="E11" s="229">
        <f>SUM(E12:E14)</f>
        <v>3999567.15</v>
      </c>
    </row>
    <row r="12" spans="2:5">
      <c r="B12" s="170" t="s">
        <v>4</v>
      </c>
      <c r="C12" s="171" t="s">
        <v>5</v>
      </c>
      <c r="D12" s="245">
        <v>5901768.1600000001</v>
      </c>
      <c r="E12" s="251">
        <v>3999567.15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5901768.1600000001</v>
      </c>
      <c r="E21" s="147">
        <f>E11-E17</f>
        <v>3999567.15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6626092.6600000001</v>
      </c>
      <c r="E26" s="219">
        <f>D21</f>
        <v>5901768.1600000001</v>
      </c>
    </row>
    <row r="27" spans="2:6">
      <c r="B27" s="9" t="s">
        <v>17</v>
      </c>
      <c r="C27" s="10" t="s">
        <v>111</v>
      </c>
      <c r="D27" s="198">
        <v>-665401.23</v>
      </c>
      <c r="E27" s="292">
        <f>E28-E32</f>
        <v>-964533.74</v>
      </c>
      <c r="F27" s="71"/>
    </row>
    <row r="28" spans="2:6">
      <c r="B28" s="9" t="s">
        <v>18</v>
      </c>
      <c r="C28" s="10" t="s">
        <v>19</v>
      </c>
      <c r="D28" s="198">
        <v>118770.43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118770.43</v>
      </c>
      <c r="E31" s="295"/>
      <c r="F31" s="71"/>
    </row>
    <row r="32" spans="2:6">
      <c r="B32" s="91" t="s">
        <v>23</v>
      </c>
      <c r="C32" s="11" t="s">
        <v>24</v>
      </c>
      <c r="D32" s="198">
        <v>784171.66</v>
      </c>
      <c r="E32" s="293">
        <f>SUM(E33:E39)</f>
        <v>964533.74</v>
      </c>
      <c r="F32" s="71"/>
    </row>
    <row r="33" spans="2:6">
      <c r="B33" s="178" t="s">
        <v>4</v>
      </c>
      <c r="C33" s="171" t="s">
        <v>25</v>
      </c>
      <c r="D33" s="199">
        <v>469740.44</v>
      </c>
      <c r="E33" s="295">
        <f>549793.69-2.27</f>
        <v>549791.41999999993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7970.25</v>
      </c>
      <c r="E35" s="295">
        <v>11401.78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55578.12</v>
      </c>
      <c r="E37" s="295">
        <v>38767.550000000003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250882.85</v>
      </c>
      <c r="E39" s="297">
        <v>364572.99</v>
      </c>
      <c r="F39" s="71"/>
    </row>
    <row r="40" spans="2:6" ht="13.5" thickBot="1">
      <c r="B40" s="96" t="s">
        <v>35</v>
      </c>
      <c r="C40" s="97" t="s">
        <v>36</v>
      </c>
      <c r="D40" s="201">
        <v>919638.19</v>
      </c>
      <c r="E40" s="306">
        <v>-937667.27</v>
      </c>
    </row>
    <row r="41" spans="2:6" ht="13.5" thickBot="1">
      <c r="B41" s="98" t="s">
        <v>37</v>
      </c>
      <c r="C41" s="99" t="s">
        <v>38</v>
      </c>
      <c r="D41" s="202">
        <v>6880329.6199999992</v>
      </c>
      <c r="E41" s="147">
        <f>E26+E27+E40</f>
        <v>3999567.15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32159.253830000001</v>
      </c>
      <c r="E47" s="148">
        <v>22821.11349</v>
      </c>
    </row>
    <row r="48" spans="2:6">
      <c r="B48" s="183" t="s">
        <v>6</v>
      </c>
      <c r="C48" s="184" t="s">
        <v>41</v>
      </c>
      <c r="D48" s="203">
        <v>29263.055546104119</v>
      </c>
      <c r="E48" s="148">
        <v>18179.85066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206.04</v>
      </c>
      <c r="E50" s="148">
        <v>258.61</v>
      </c>
    </row>
    <row r="51" spans="2:5">
      <c r="B51" s="181" t="s">
        <v>6</v>
      </c>
      <c r="C51" s="182" t="s">
        <v>114</v>
      </c>
      <c r="D51" s="203">
        <v>205.27</v>
      </c>
      <c r="E51" s="74">
        <v>176.86</v>
      </c>
    </row>
    <row r="52" spans="2:5">
      <c r="B52" s="181" t="s">
        <v>8</v>
      </c>
      <c r="C52" s="182" t="s">
        <v>115</v>
      </c>
      <c r="D52" s="203">
        <v>241.1</v>
      </c>
      <c r="E52" s="74">
        <v>269.08</v>
      </c>
    </row>
    <row r="53" spans="2:5" ht="13.5" customHeight="1" thickBot="1">
      <c r="B53" s="185" t="s">
        <v>9</v>
      </c>
      <c r="C53" s="186" t="s">
        <v>41</v>
      </c>
      <c r="D53" s="205">
        <v>235.12</v>
      </c>
      <c r="E53" s="309">
        <v>220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3999567.15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E12</f>
        <v>3999567.15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29" t="s">
        <v>64</v>
      </c>
      <c r="C74" s="120" t="s">
        <v>66</v>
      </c>
      <c r="D74" s="121">
        <f>D58-D73</f>
        <v>3999567.15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3999567.15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192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3708226.65</v>
      </c>
      <c r="E11" s="229">
        <f>SUM(E12:E14)</f>
        <v>719841.56</v>
      </c>
    </row>
    <row r="12" spans="2:7">
      <c r="B12" s="170" t="s">
        <v>4</v>
      </c>
      <c r="C12" s="171" t="s">
        <v>5</v>
      </c>
      <c r="D12" s="245">
        <v>3708226.65</v>
      </c>
      <c r="E12" s="251">
        <v>719841.56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3708226.65</v>
      </c>
      <c r="E21" s="147">
        <f>E11-E17</f>
        <v>719841.56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3323449.45</v>
      </c>
      <c r="E26" s="219">
        <f>D21</f>
        <v>3708226.65</v>
      </c>
    </row>
    <row r="27" spans="2:6">
      <c r="B27" s="9" t="s">
        <v>17</v>
      </c>
      <c r="C27" s="10" t="s">
        <v>111</v>
      </c>
      <c r="D27" s="198">
        <v>-115850.87000000002</v>
      </c>
      <c r="E27" s="292">
        <f>E28-E32</f>
        <v>-1961556.75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20073.400000000001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20073.400000000001</v>
      </c>
      <c r="F31" s="71"/>
    </row>
    <row r="32" spans="2:6">
      <c r="B32" s="91" t="s">
        <v>23</v>
      </c>
      <c r="C32" s="11" t="s">
        <v>24</v>
      </c>
      <c r="D32" s="198">
        <v>115850.87000000002</v>
      </c>
      <c r="E32" s="293">
        <f>SUM(E33:E39)</f>
        <v>1981630.15</v>
      </c>
      <c r="F32" s="71"/>
    </row>
    <row r="33" spans="2:6">
      <c r="B33" s="178" t="s">
        <v>4</v>
      </c>
      <c r="C33" s="171" t="s">
        <v>25</v>
      </c>
      <c r="D33" s="199">
        <v>42987.73</v>
      </c>
      <c r="E33" s="295">
        <f>39497.25-1.5</f>
        <v>39495.75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1610.23</v>
      </c>
      <c r="E35" s="295">
        <v>1686.87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27444.9</v>
      </c>
      <c r="E37" s="295">
        <v>15820.52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43808.01</v>
      </c>
      <c r="E39" s="297">
        <v>1924627.01</v>
      </c>
      <c r="F39" s="71"/>
    </row>
    <row r="40" spans="2:6" ht="13.5" thickBot="1">
      <c r="B40" s="96" t="s">
        <v>35</v>
      </c>
      <c r="C40" s="97" t="s">
        <v>36</v>
      </c>
      <c r="D40" s="201">
        <v>168053.7</v>
      </c>
      <c r="E40" s="306">
        <v>-1026828.34</v>
      </c>
    </row>
    <row r="41" spans="2:6" ht="13.5" thickBot="1">
      <c r="B41" s="98" t="s">
        <v>37</v>
      </c>
      <c r="C41" s="99" t="s">
        <v>38</v>
      </c>
      <c r="D41" s="202">
        <v>3375652.2800000003</v>
      </c>
      <c r="E41" s="147">
        <f>E26+E27+E40</f>
        <v>719841.55999999994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18916.55444</v>
      </c>
      <c r="E47" s="148">
        <v>17901.166561999999</v>
      </c>
    </row>
    <row r="48" spans="2:6">
      <c r="B48" s="183" t="s">
        <v>6</v>
      </c>
      <c r="C48" s="184" t="s">
        <v>41</v>
      </c>
      <c r="D48" s="203">
        <v>18295.226708579481</v>
      </c>
      <c r="E48" s="148">
        <v>4279.4218819999996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175.69</v>
      </c>
      <c r="E50" s="148">
        <v>207.15</v>
      </c>
    </row>
    <row r="51" spans="2:5">
      <c r="B51" s="181" t="s">
        <v>6</v>
      </c>
      <c r="C51" s="182" t="s">
        <v>114</v>
      </c>
      <c r="D51" s="203">
        <v>173.83</v>
      </c>
      <c r="E51" s="74">
        <v>136.03</v>
      </c>
    </row>
    <row r="52" spans="2:5">
      <c r="B52" s="181" t="s">
        <v>8</v>
      </c>
      <c r="C52" s="182" t="s">
        <v>115</v>
      </c>
      <c r="D52" s="203">
        <v>195.18</v>
      </c>
      <c r="E52" s="74">
        <v>208.83</v>
      </c>
    </row>
    <row r="53" spans="2:5" ht="12.75" customHeight="1" thickBot="1">
      <c r="B53" s="185" t="s">
        <v>9</v>
      </c>
      <c r="C53" s="186" t="s">
        <v>41</v>
      </c>
      <c r="D53" s="205">
        <v>184.51</v>
      </c>
      <c r="E53" s="309">
        <v>168.21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7.2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719841.56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719841.56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719841.56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719841.56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193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246269.2</v>
      </c>
      <c r="E11" s="229">
        <f>SUM(E12:E14)</f>
        <v>242018.05</v>
      </c>
    </row>
    <row r="12" spans="2:7">
      <c r="B12" s="170" t="s">
        <v>4</v>
      </c>
      <c r="C12" s="171" t="s">
        <v>5</v>
      </c>
      <c r="D12" s="245">
        <v>246269.2</v>
      </c>
      <c r="E12" s="251">
        <v>242018.05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246269.2</v>
      </c>
      <c r="E21" s="147">
        <f>E11-E17</f>
        <v>242018.05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243859.62</v>
      </c>
      <c r="E26" s="219">
        <f>D21</f>
        <v>246269.2</v>
      </c>
    </row>
    <row r="27" spans="2:6">
      <c r="B27" s="9" t="s">
        <v>17</v>
      </c>
      <c r="C27" s="10" t="s">
        <v>111</v>
      </c>
      <c r="D27" s="198">
        <v>-33212.649999999994</v>
      </c>
      <c r="E27" s="292">
        <f>E28-E32</f>
        <v>-2657.9899999999907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100599.71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100599.71</v>
      </c>
      <c r="F31" s="71"/>
    </row>
    <row r="32" spans="2:6">
      <c r="B32" s="91" t="s">
        <v>23</v>
      </c>
      <c r="C32" s="11" t="s">
        <v>24</v>
      </c>
      <c r="D32" s="198">
        <v>33212.649999999994</v>
      </c>
      <c r="E32" s="293">
        <v>103257.7</v>
      </c>
      <c r="F32" s="71"/>
    </row>
    <row r="33" spans="2:6">
      <c r="B33" s="178" t="s">
        <v>4</v>
      </c>
      <c r="C33" s="171" t="s">
        <v>25</v>
      </c>
      <c r="D33" s="199">
        <v>31256.69</v>
      </c>
      <c r="E33" s="295">
        <v>101620.89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19.62</v>
      </c>
      <c r="E35" s="295">
        <v>68.86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1936.34</v>
      </c>
      <c r="E37" s="295">
        <v>1567.95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18054.400000000001</v>
      </c>
      <c r="E40" s="306">
        <v>-1593.16</v>
      </c>
    </row>
    <row r="41" spans="2:6" ht="13.5" thickBot="1">
      <c r="B41" s="98" t="s">
        <v>37</v>
      </c>
      <c r="C41" s="99" t="s">
        <v>38</v>
      </c>
      <c r="D41" s="202">
        <v>228701.37</v>
      </c>
      <c r="E41" s="147">
        <f>E26+E27+E40</f>
        <v>242018.05000000002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2055.2854000000002</v>
      </c>
      <c r="E47" s="148">
        <v>1782.75083</v>
      </c>
    </row>
    <row r="48" spans="2:6">
      <c r="B48" s="183" t="s">
        <v>6</v>
      </c>
      <c r="C48" s="184" t="s">
        <v>41</v>
      </c>
      <c r="D48" s="203">
        <v>1797.11906</v>
      </c>
      <c r="E48" s="148">
        <v>1900.11814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118.65</v>
      </c>
      <c r="E50" s="148">
        <v>138.13999999999999</v>
      </c>
    </row>
    <row r="51" spans="2:5">
      <c r="B51" s="181" t="s">
        <v>6</v>
      </c>
      <c r="C51" s="182" t="s">
        <v>114</v>
      </c>
      <c r="D51" s="203">
        <v>115.46000000000001</v>
      </c>
      <c r="E51" s="74">
        <v>99.47</v>
      </c>
    </row>
    <row r="52" spans="2:5">
      <c r="B52" s="181" t="s">
        <v>8</v>
      </c>
      <c r="C52" s="182" t="s">
        <v>115</v>
      </c>
      <c r="D52" s="203">
        <v>135.11000000000001</v>
      </c>
      <c r="E52" s="74">
        <v>140.97999999999999</v>
      </c>
    </row>
    <row r="53" spans="2:5" ht="13.5" customHeight="1" thickBot="1">
      <c r="B53" s="185" t="s">
        <v>9</v>
      </c>
      <c r="C53" s="186" t="s">
        <v>41</v>
      </c>
      <c r="D53" s="205">
        <v>127.26</v>
      </c>
      <c r="E53" s="309">
        <v>127.37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5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242018.05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242018.05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242018.05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242018.05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H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84"/>
      <c r="C4" s="84"/>
      <c r="D4" s="84"/>
      <c r="E4" s="84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91</v>
      </c>
      <c r="C6" s="351"/>
      <c r="D6" s="351"/>
      <c r="E6" s="351"/>
    </row>
    <row r="7" spans="2:7" ht="14.25">
      <c r="B7" s="88"/>
      <c r="C7" s="88"/>
      <c r="D7" s="88"/>
      <c r="E7" s="8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85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68377054.690000013</v>
      </c>
      <c r="E11" s="229">
        <f>SUM(E12:E14)</f>
        <v>74420981.510000005</v>
      </c>
    </row>
    <row r="12" spans="2:7">
      <c r="B12" s="105" t="s">
        <v>4</v>
      </c>
      <c r="C12" s="6" t="s">
        <v>5</v>
      </c>
      <c r="D12" s="245">
        <v>68187706.930000007</v>
      </c>
      <c r="E12" s="251">
        <f>74478702.03+250059.76-576643.6</f>
        <v>74152118.190000013</v>
      </c>
    </row>
    <row r="13" spans="2:7">
      <c r="B13" s="105" t="s">
        <v>6</v>
      </c>
      <c r="C13" s="68" t="s">
        <v>7</v>
      </c>
      <c r="D13" s="241"/>
      <c r="E13" s="252"/>
    </row>
    <row r="14" spans="2:7">
      <c r="B14" s="105" t="s">
        <v>8</v>
      </c>
      <c r="C14" s="68" t="s">
        <v>10</v>
      </c>
      <c r="D14" s="241">
        <v>189347.76</v>
      </c>
      <c r="E14" s="252">
        <f>E15</f>
        <v>268863.32</v>
      </c>
    </row>
    <row r="15" spans="2:7">
      <c r="B15" s="105" t="s">
        <v>106</v>
      </c>
      <c r="C15" s="68" t="s">
        <v>11</v>
      </c>
      <c r="D15" s="241">
        <v>189347.76</v>
      </c>
      <c r="E15" s="252">
        <v>268863.32</v>
      </c>
    </row>
    <row r="16" spans="2:7">
      <c r="B16" s="106" t="s">
        <v>107</v>
      </c>
      <c r="C16" s="90" t="s">
        <v>12</v>
      </c>
      <c r="D16" s="243"/>
      <c r="E16" s="253"/>
    </row>
    <row r="17" spans="2:8">
      <c r="B17" s="9" t="s">
        <v>13</v>
      </c>
      <c r="C17" s="11" t="s">
        <v>65</v>
      </c>
      <c r="D17" s="244">
        <v>87608</v>
      </c>
      <c r="E17" s="254">
        <f>E18</f>
        <v>92157.03</v>
      </c>
    </row>
    <row r="18" spans="2:8">
      <c r="B18" s="105" t="s">
        <v>4</v>
      </c>
      <c r="C18" s="6" t="s">
        <v>11</v>
      </c>
      <c r="D18" s="243">
        <v>87608</v>
      </c>
      <c r="E18" s="253">
        <v>92157.03</v>
      </c>
      <c r="H18" s="67"/>
    </row>
    <row r="19" spans="2:8" ht="15" customHeight="1">
      <c r="B19" s="105" t="s">
        <v>6</v>
      </c>
      <c r="C19" s="68" t="s">
        <v>108</v>
      </c>
      <c r="D19" s="241"/>
      <c r="E19" s="252"/>
    </row>
    <row r="20" spans="2:8" ht="13.5" thickBot="1">
      <c r="B20" s="107" t="s">
        <v>8</v>
      </c>
      <c r="C20" s="69" t="s">
        <v>14</v>
      </c>
      <c r="D20" s="230"/>
      <c r="E20" s="231"/>
    </row>
    <row r="21" spans="2:8" ht="13.5" thickBot="1">
      <c r="B21" s="359" t="s">
        <v>110</v>
      </c>
      <c r="C21" s="360"/>
      <c r="D21" s="232">
        <v>68289446.690000013</v>
      </c>
      <c r="E21" s="147">
        <f>E11-E17</f>
        <v>74328824.480000004</v>
      </c>
      <c r="F21" s="76"/>
    </row>
    <row r="22" spans="2:8">
      <c r="B22" s="3"/>
      <c r="C22" s="7"/>
      <c r="D22" s="8"/>
      <c r="E22" s="8"/>
    </row>
    <row r="23" spans="2:8" ht="13.5">
      <c r="B23" s="353" t="s">
        <v>104</v>
      </c>
      <c r="C23" s="361"/>
      <c r="D23" s="361"/>
      <c r="E23" s="361"/>
    </row>
    <row r="24" spans="2:8" ht="15.75" customHeight="1" thickBot="1">
      <c r="B24" s="352" t="s">
        <v>105</v>
      </c>
      <c r="C24" s="362"/>
      <c r="D24" s="362"/>
      <c r="E24" s="362"/>
    </row>
    <row r="25" spans="2:8" ht="13.5" thickBot="1">
      <c r="B25" s="85"/>
      <c r="C25" s="5" t="s">
        <v>2</v>
      </c>
      <c r="D25" s="70" t="s">
        <v>265</v>
      </c>
      <c r="E25" s="261" t="s">
        <v>264</v>
      </c>
    </row>
    <row r="26" spans="2:8">
      <c r="B26" s="94" t="s">
        <v>15</v>
      </c>
      <c r="C26" s="95" t="s">
        <v>16</v>
      </c>
      <c r="D26" s="197">
        <v>59555182.450000003</v>
      </c>
      <c r="E26" s="219">
        <f>D21</f>
        <v>68289446.690000013</v>
      </c>
    </row>
    <row r="27" spans="2:8">
      <c r="B27" s="9" t="s">
        <v>17</v>
      </c>
      <c r="C27" s="10" t="s">
        <v>111</v>
      </c>
      <c r="D27" s="198">
        <v>3158990.3500000006</v>
      </c>
      <c r="E27" s="292">
        <f>E28-E32</f>
        <v>3153313.5699999994</v>
      </c>
      <c r="F27" s="71"/>
    </row>
    <row r="28" spans="2:8">
      <c r="B28" s="9" t="s">
        <v>18</v>
      </c>
      <c r="C28" s="10" t="s">
        <v>19</v>
      </c>
      <c r="D28" s="198">
        <v>8600379.6500000004</v>
      </c>
      <c r="E28" s="293">
        <v>11514270.629999999</v>
      </c>
      <c r="F28" s="71"/>
    </row>
    <row r="29" spans="2:8">
      <c r="B29" s="103" t="s">
        <v>4</v>
      </c>
      <c r="C29" s="6" t="s">
        <v>20</v>
      </c>
      <c r="D29" s="199">
        <v>7940132.3600000003</v>
      </c>
      <c r="E29" s="295">
        <v>8350812.3499999996</v>
      </c>
      <c r="F29" s="71"/>
    </row>
    <row r="30" spans="2:8">
      <c r="B30" s="103" t="s">
        <v>6</v>
      </c>
      <c r="C30" s="6" t="s">
        <v>21</v>
      </c>
      <c r="D30" s="199"/>
      <c r="E30" s="295"/>
      <c r="F30" s="71"/>
    </row>
    <row r="31" spans="2:8">
      <c r="B31" s="103" t="s">
        <v>8</v>
      </c>
      <c r="C31" s="6" t="s">
        <v>22</v>
      </c>
      <c r="D31" s="199">
        <v>660247.29</v>
      </c>
      <c r="E31" s="295">
        <v>3163458.2800000003</v>
      </c>
      <c r="F31" s="71"/>
    </row>
    <row r="32" spans="2:8">
      <c r="B32" s="91" t="s">
        <v>23</v>
      </c>
      <c r="C32" s="11" t="s">
        <v>24</v>
      </c>
      <c r="D32" s="198">
        <v>5441389.2999999998</v>
      </c>
      <c r="E32" s="293">
        <f>SUM(E33:E39)</f>
        <v>8360957.0599999996</v>
      </c>
      <c r="F32" s="71"/>
    </row>
    <row r="33" spans="2:6">
      <c r="B33" s="103" t="s">
        <v>4</v>
      </c>
      <c r="C33" s="6" t="s">
        <v>25</v>
      </c>
      <c r="D33" s="199">
        <v>4384780.63</v>
      </c>
      <c r="E33" s="295">
        <f>5775922.92-40213.61</f>
        <v>5735709.3099999996</v>
      </c>
      <c r="F33" s="71"/>
    </row>
    <row r="34" spans="2:6">
      <c r="B34" s="103" t="s">
        <v>6</v>
      </c>
      <c r="C34" s="6" t="s">
        <v>26</v>
      </c>
      <c r="D34" s="199"/>
      <c r="E34" s="295"/>
      <c r="F34" s="71"/>
    </row>
    <row r="35" spans="2:6">
      <c r="B35" s="103" t="s">
        <v>8</v>
      </c>
      <c r="C35" s="6" t="s">
        <v>27</v>
      </c>
      <c r="D35" s="199">
        <v>748878.14</v>
      </c>
      <c r="E35" s="295">
        <v>814009.49</v>
      </c>
      <c r="F35" s="71"/>
    </row>
    <row r="36" spans="2:6">
      <c r="B36" s="103" t="s">
        <v>9</v>
      </c>
      <c r="C36" s="6" t="s">
        <v>28</v>
      </c>
      <c r="D36" s="199"/>
      <c r="E36" s="295"/>
      <c r="F36" s="71"/>
    </row>
    <row r="37" spans="2:6" ht="25.5">
      <c r="B37" s="103" t="s">
        <v>29</v>
      </c>
      <c r="C37" s="6" t="s">
        <v>30</v>
      </c>
      <c r="D37" s="199"/>
      <c r="E37" s="295"/>
      <c r="F37" s="71"/>
    </row>
    <row r="38" spans="2:6">
      <c r="B38" s="103" t="s">
        <v>31</v>
      </c>
      <c r="C38" s="6" t="s">
        <v>32</v>
      </c>
      <c r="D38" s="199"/>
      <c r="E38" s="295"/>
      <c r="F38" s="71"/>
    </row>
    <row r="39" spans="2:6">
      <c r="B39" s="104" t="s">
        <v>33</v>
      </c>
      <c r="C39" s="12" t="s">
        <v>34</v>
      </c>
      <c r="D39" s="200">
        <v>307730.53000000003</v>
      </c>
      <c r="E39" s="297">
        <v>1811238.26</v>
      </c>
      <c r="F39" s="71"/>
    </row>
    <row r="40" spans="2:6" ht="13.5" thickBot="1">
      <c r="B40" s="96" t="s">
        <v>35</v>
      </c>
      <c r="C40" s="97" t="s">
        <v>36</v>
      </c>
      <c r="D40" s="201">
        <v>677012.26</v>
      </c>
      <c r="E40" s="306">
        <v>2886064.22</v>
      </c>
    </row>
    <row r="41" spans="2:6" ht="13.5" thickBot="1">
      <c r="B41" s="98" t="s">
        <v>37</v>
      </c>
      <c r="C41" s="99" t="s">
        <v>38</v>
      </c>
      <c r="D41" s="202">
        <v>63391185.060000002</v>
      </c>
      <c r="E41" s="147">
        <f>E26+E27+E40</f>
        <v>74328824.480000004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55"/>
      <c r="D43" s="355"/>
      <c r="E43" s="355"/>
    </row>
    <row r="44" spans="2:6" ht="17.25" customHeight="1" thickBot="1">
      <c r="B44" s="352" t="s">
        <v>121</v>
      </c>
      <c r="C44" s="356"/>
      <c r="D44" s="356"/>
      <c r="E44" s="356"/>
    </row>
    <row r="45" spans="2:6" ht="13.5" thickBot="1">
      <c r="B45" s="85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213"/>
      <c r="E46" s="28"/>
    </row>
    <row r="47" spans="2:6">
      <c r="B47" s="101" t="s">
        <v>4</v>
      </c>
      <c r="C47" s="15" t="s">
        <v>40</v>
      </c>
      <c r="D47" s="203">
        <v>4861973.9389199996</v>
      </c>
      <c r="E47" s="73">
        <v>5494161.6903999997</v>
      </c>
    </row>
    <row r="48" spans="2:6">
      <c r="B48" s="122" t="s">
        <v>6</v>
      </c>
      <c r="C48" s="22" t="s">
        <v>41</v>
      </c>
      <c r="D48" s="203">
        <v>5120037.5623939903</v>
      </c>
      <c r="E48" s="316">
        <v>5744795.7511</v>
      </c>
    </row>
    <row r="49" spans="2:5">
      <c r="B49" s="119" t="s">
        <v>23</v>
      </c>
      <c r="C49" s="123" t="s">
        <v>113</v>
      </c>
      <c r="D49" s="277"/>
      <c r="E49" s="124"/>
    </row>
    <row r="50" spans="2:5">
      <c r="B50" s="101" t="s">
        <v>4</v>
      </c>
      <c r="C50" s="15" t="s">
        <v>40</v>
      </c>
      <c r="D50" s="203">
        <v>12.2491776381711</v>
      </c>
      <c r="E50" s="237">
        <v>12.429500000000001</v>
      </c>
    </row>
    <row r="51" spans="2:5">
      <c r="B51" s="101" t="s">
        <v>6</v>
      </c>
      <c r="C51" s="15" t="s">
        <v>114</v>
      </c>
      <c r="D51" s="203">
        <v>12.1929</v>
      </c>
      <c r="E51" s="338">
        <v>12.3536</v>
      </c>
    </row>
    <row r="52" spans="2:5" ht="12" customHeight="1">
      <c r="B52" s="101" t="s">
        <v>8</v>
      </c>
      <c r="C52" s="15" t="s">
        <v>115</v>
      </c>
      <c r="D52" s="203">
        <v>12.4079</v>
      </c>
      <c r="E52" s="74">
        <v>12.938499999999999</v>
      </c>
    </row>
    <row r="53" spans="2:5" ht="13.5" thickBot="1">
      <c r="B53" s="102" t="s">
        <v>9</v>
      </c>
      <c r="C53" s="17" t="s">
        <v>41</v>
      </c>
      <c r="D53" s="205">
        <v>12.381</v>
      </c>
      <c r="E53" s="309">
        <v>12.938499999999999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SUM(D59:D70)</f>
        <v>74152118.190000013</v>
      </c>
      <c r="E58" s="31">
        <f>D58/E21</f>
        <v>0.99762264113234378</v>
      </c>
    </row>
    <row r="59" spans="2:5" ht="25.5">
      <c r="B59" s="21" t="s">
        <v>4</v>
      </c>
      <c r="C59" s="22" t="s">
        <v>44</v>
      </c>
      <c r="D59" s="79">
        <v>0</v>
      </c>
      <c r="E59" s="80">
        <v>0</v>
      </c>
    </row>
    <row r="60" spans="2:5" ht="24" customHeight="1">
      <c r="B60" s="14" t="s">
        <v>6</v>
      </c>
      <c r="C60" s="15" t="s">
        <v>45</v>
      </c>
      <c r="D60" s="77">
        <v>0</v>
      </c>
      <c r="E60" s="78">
        <v>0</v>
      </c>
    </row>
    <row r="61" spans="2:5">
      <c r="B61" s="14" t="s">
        <v>8</v>
      </c>
      <c r="C61" s="15" t="s">
        <v>46</v>
      </c>
      <c r="D61" s="77">
        <v>0</v>
      </c>
      <c r="E61" s="78">
        <v>0</v>
      </c>
    </row>
    <row r="62" spans="2:5">
      <c r="B62" s="14" t="s">
        <v>9</v>
      </c>
      <c r="C62" s="15" t="s">
        <v>47</v>
      </c>
      <c r="D62" s="77">
        <v>0</v>
      </c>
      <c r="E62" s="78">
        <v>0</v>
      </c>
    </row>
    <row r="63" spans="2:5">
      <c r="B63" s="14" t="s">
        <v>29</v>
      </c>
      <c r="C63" s="15" t="s">
        <v>48</v>
      </c>
      <c r="D63" s="77">
        <v>0</v>
      </c>
      <c r="E63" s="78">
        <v>0</v>
      </c>
    </row>
    <row r="64" spans="2:5">
      <c r="B64" s="21" t="s">
        <v>31</v>
      </c>
      <c r="C64" s="22" t="s">
        <v>49</v>
      </c>
      <c r="D64" s="238">
        <f>74478702.03-576643.6</f>
        <v>73902058.430000007</v>
      </c>
      <c r="E64" s="80">
        <f>D64/E21</f>
        <v>0.99425840442135838</v>
      </c>
    </row>
    <row r="65" spans="2:5">
      <c r="B65" s="21" t="s">
        <v>33</v>
      </c>
      <c r="C65" s="22" t="s">
        <v>118</v>
      </c>
      <c r="D65" s="79">
        <v>0</v>
      </c>
      <c r="E65" s="80">
        <v>0</v>
      </c>
    </row>
    <row r="66" spans="2:5">
      <c r="B66" s="21" t="s">
        <v>50</v>
      </c>
      <c r="C66" s="22" t="s">
        <v>51</v>
      </c>
      <c r="D66" s="79">
        <v>0</v>
      </c>
      <c r="E66" s="80">
        <v>0</v>
      </c>
    </row>
    <row r="67" spans="2:5">
      <c r="B67" s="14" t="s">
        <v>52</v>
      </c>
      <c r="C67" s="15" t="s">
        <v>53</v>
      </c>
      <c r="D67" s="77">
        <v>0</v>
      </c>
      <c r="E67" s="78">
        <v>0</v>
      </c>
    </row>
    <row r="68" spans="2:5">
      <c r="B68" s="14" t="s">
        <v>54</v>
      </c>
      <c r="C68" s="15" t="s">
        <v>55</v>
      </c>
      <c r="D68" s="77">
        <v>0</v>
      </c>
      <c r="E68" s="78">
        <v>0</v>
      </c>
    </row>
    <row r="69" spans="2:5">
      <c r="B69" s="14" t="s">
        <v>56</v>
      </c>
      <c r="C69" s="15" t="s">
        <v>57</v>
      </c>
      <c r="D69" s="246">
        <v>250059.76</v>
      </c>
      <c r="E69" s="78">
        <f>D69/E21</f>
        <v>3.3642367109853154E-3</v>
      </c>
    </row>
    <row r="70" spans="2:5">
      <c r="B70" s="111" t="s">
        <v>58</v>
      </c>
      <c r="C70" s="112" t="s">
        <v>59</v>
      </c>
      <c r="D70" s="113">
        <v>0</v>
      </c>
      <c r="E70" s="114">
        <v>0</v>
      </c>
    </row>
    <row r="71" spans="2:5">
      <c r="B71" s="119" t="s">
        <v>23</v>
      </c>
      <c r="C71" s="120" t="s">
        <v>61</v>
      </c>
      <c r="D71" s="121">
        <f>E13</f>
        <v>0</v>
      </c>
      <c r="E71" s="66">
        <v>0</v>
      </c>
    </row>
    <row r="72" spans="2:5">
      <c r="B72" s="115" t="s">
        <v>60</v>
      </c>
      <c r="C72" s="116" t="s">
        <v>63</v>
      </c>
      <c r="D72" s="117">
        <f>E14</f>
        <v>268863.32</v>
      </c>
      <c r="E72" s="118">
        <f>D72/E21</f>
        <v>3.6172147465125632E-3</v>
      </c>
    </row>
    <row r="73" spans="2:5">
      <c r="B73" s="23" t="s">
        <v>62</v>
      </c>
      <c r="C73" s="24" t="s">
        <v>65</v>
      </c>
      <c r="D73" s="25">
        <f>E17</f>
        <v>92157.03</v>
      </c>
      <c r="E73" s="26">
        <f>D73/E21</f>
        <v>1.2398558788562183E-3</v>
      </c>
    </row>
    <row r="74" spans="2:5">
      <c r="B74" s="119" t="s">
        <v>64</v>
      </c>
      <c r="C74" s="120" t="s">
        <v>66</v>
      </c>
      <c r="D74" s="121">
        <f>D58+D71+D72-D73</f>
        <v>74328824.480000004</v>
      </c>
      <c r="E74" s="66">
        <f>E58+E72-E73</f>
        <v>1.0000000000000002</v>
      </c>
    </row>
    <row r="75" spans="2:5">
      <c r="B75" s="14" t="s">
        <v>4</v>
      </c>
      <c r="C75" s="15" t="s">
        <v>67</v>
      </c>
      <c r="D75" s="77">
        <f>D74</f>
        <v>74328824.480000004</v>
      </c>
      <c r="E75" s="78">
        <f>E74</f>
        <v>1.0000000000000002</v>
      </c>
    </row>
    <row r="76" spans="2:5">
      <c r="B76" s="14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6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F81"/>
  <sheetViews>
    <sheetView zoomScale="80" zoomScaleNormal="80" workbookViewId="0">
      <selection activeCell="O26" sqref="O2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37"/>
      <c r="C4" s="137"/>
      <c r="D4" s="137"/>
      <c r="E4" s="137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194</v>
      </c>
      <c r="C6" s="351"/>
      <c r="D6" s="351"/>
      <c r="E6" s="351"/>
    </row>
    <row r="7" spans="2:5" ht="14.25">
      <c r="B7" s="135"/>
      <c r="C7" s="135"/>
      <c r="D7" s="135"/>
      <c r="E7" s="135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6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1848451.8</v>
      </c>
      <c r="E11" s="229">
        <f>SUM(E12:E14)</f>
        <v>3667970.63</v>
      </c>
    </row>
    <row r="12" spans="2:5">
      <c r="B12" s="170" t="s">
        <v>4</v>
      </c>
      <c r="C12" s="171" t="s">
        <v>5</v>
      </c>
      <c r="D12" s="245">
        <v>1848451.8</v>
      </c>
      <c r="E12" s="251">
        <v>3667970.63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1848451.8</v>
      </c>
      <c r="E21" s="147">
        <f>E11-E17</f>
        <v>3667970.63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3172633.79</v>
      </c>
      <c r="E26" s="219">
        <f>D21</f>
        <v>1848451.8</v>
      </c>
    </row>
    <row r="27" spans="2:6">
      <c r="B27" s="9" t="s">
        <v>17</v>
      </c>
      <c r="C27" s="10" t="s">
        <v>111</v>
      </c>
      <c r="D27" s="198">
        <v>-1195278.6599999999</v>
      </c>
      <c r="E27" s="292">
        <f>E28-E32</f>
        <v>2195195.4699999997</v>
      </c>
      <c r="F27" s="71"/>
    </row>
    <row r="28" spans="2:6">
      <c r="B28" s="9" t="s">
        <v>18</v>
      </c>
      <c r="C28" s="10" t="s">
        <v>19</v>
      </c>
      <c r="D28" s="198">
        <v>226911.35</v>
      </c>
      <c r="E28" s="293">
        <v>2511610.94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226911.35</v>
      </c>
      <c r="E31" s="295">
        <v>2511610.94</v>
      </c>
      <c r="F31" s="71"/>
    </row>
    <row r="32" spans="2:6">
      <c r="B32" s="91" t="s">
        <v>23</v>
      </c>
      <c r="C32" s="11" t="s">
        <v>24</v>
      </c>
      <c r="D32" s="198">
        <v>1422190.01</v>
      </c>
      <c r="E32" s="293">
        <v>316415.46999999997</v>
      </c>
      <c r="F32" s="71"/>
    </row>
    <row r="33" spans="2:6">
      <c r="B33" s="178" t="s">
        <v>4</v>
      </c>
      <c r="C33" s="171" t="s">
        <v>25</v>
      </c>
      <c r="D33" s="199">
        <v>1395214.87</v>
      </c>
      <c r="E33" s="295">
        <v>140199.41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2578.89</v>
      </c>
      <c r="E35" s="295">
        <v>904.37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24396.25</v>
      </c>
      <c r="E37" s="295">
        <v>27076.58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148235.10999999999</v>
      </c>
      <c r="F39" s="71"/>
    </row>
    <row r="40" spans="2:6" ht="13.5" thickBot="1">
      <c r="B40" s="96" t="s">
        <v>35</v>
      </c>
      <c r="C40" s="97" t="s">
        <v>36</v>
      </c>
      <c r="D40" s="201">
        <v>192152.15</v>
      </c>
      <c r="E40" s="306">
        <v>-375676.64</v>
      </c>
    </row>
    <row r="41" spans="2:6" ht="13.5" thickBot="1">
      <c r="B41" s="98" t="s">
        <v>37</v>
      </c>
      <c r="C41" s="99" t="s">
        <v>38</v>
      </c>
      <c r="D41" s="202">
        <v>2169507.2800000003</v>
      </c>
      <c r="E41" s="147">
        <f>E26+E27+E40</f>
        <v>3667970.6299999994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37193.830999999998</v>
      </c>
      <c r="E47" s="148">
        <v>19721.026320000001</v>
      </c>
    </row>
    <row r="48" spans="2:6">
      <c r="B48" s="183" t="s">
        <v>6</v>
      </c>
      <c r="C48" s="184" t="s">
        <v>41</v>
      </c>
      <c r="D48" s="203">
        <v>23830.264499121266</v>
      </c>
      <c r="E48" s="148">
        <v>42815.111790000003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85.3</v>
      </c>
      <c r="E50" s="148">
        <v>93.73</v>
      </c>
    </row>
    <row r="51" spans="2:5">
      <c r="B51" s="181" t="s">
        <v>6</v>
      </c>
      <c r="C51" s="182" t="s">
        <v>114</v>
      </c>
      <c r="D51" s="203">
        <v>85.37</v>
      </c>
      <c r="E51" s="148">
        <v>75.56</v>
      </c>
    </row>
    <row r="52" spans="2:5">
      <c r="B52" s="181" t="s">
        <v>8</v>
      </c>
      <c r="C52" s="182" t="s">
        <v>115</v>
      </c>
      <c r="D52" s="203">
        <v>91.26</v>
      </c>
      <c r="E52" s="74">
        <v>93.97</v>
      </c>
    </row>
    <row r="53" spans="2:5" ht="12.75" customHeight="1" thickBot="1">
      <c r="B53" s="185" t="s">
        <v>9</v>
      </c>
      <c r="C53" s="186" t="s">
        <v>41</v>
      </c>
      <c r="D53" s="205">
        <v>91.04</v>
      </c>
      <c r="E53" s="309">
        <v>85.67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3667970.63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3667970.63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3667970.63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3667970.63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195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614174.27</v>
      </c>
      <c r="E11" s="229">
        <f>SUM(E12:E14)</f>
        <v>299205.5</v>
      </c>
    </row>
    <row r="12" spans="2:7">
      <c r="B12" s="170" t="s">
        <v>4</v>
      </c>
      <c r="C12" s="171" t="s">
        <v>5</v>
      </c>
      <c r="D12" s="245">
        <v>614174.27</v>
      </c>
      <c r="E12" s="251">
        <v>299205.5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614174.27</v>
      </c>
      <c r="E21" s="147">
        <f>E11-E17</f>
        <v>299205.5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620886.81000000006</v>
      </c>
      <c r="E26" s="219">
        <f>D21</f>
        <v>614174.27</v>
      </c>
    </row>
    <row r="27" spans="2:6">
      <c r="B27" s="9" t="s">
        <v>17</v>
      </c>
      <c r="C27" s="10" t="s">
        <v>111</v>
      </c>
      <c r="D27" s="198">
        <v>88742.24</v>
      </c>
      <c r="E27" s="292">
        <f>E28-E32</f>
        <v>-244564.59</v>
      </c>
      <c r="F27" s="71"/>
    </row>
    <row r="28" spans="2:6">
      <c r="B28" s="9" t="s">
        <v>18</v>
      </c>
      <c r="C28" s="10" t="s">
        <v>19</v>
      </c>
      <c r="D28" s="198">
        <v>94975.63</v>
      </c>
      <c r="E28" s="293">
        <v>11403.03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94975.63</v>
      </c>
      <c r="E31" s="295">
        <v>11403.03</v>
      </c>
      <c r="F31" s="71"/>
    </row>
    <row r="32" spans="2:6">
      <c r="B32" s="91" t="s">
        <v>23</v>
      </c>
      <c r="C32" s="11" t="s">
        <v>24</v>
      </c>
      <c r="D32" s="198">
        <v>6233.39</v>
      </c>
      <c r="E32" s="293">
        <v>255967.62</v>
      </c>
      <c r="F32" s="71"/>
    </row>
    <row r="33" spans="2:6">
      <c r="B33" s="178" t="s">
        <v>4</v>
      </c>
      <c r="C33" s="171" t="s">
        <v>25</v>
      </c>
      <c r="D33" s="199"/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283.05</v>
      </c>
      <c r="E35" s="295">
        <v>241.98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5950.34</v>
      </c>
      <c r="E37" s="295">
        <v>3754.85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>
        <v>251970.79</v>
      </c>
      <c r="F39" s="71"/>
    </row>
    <row r="40" spans="2:6" ht="13.5" thickBot="1">
      <c r="B40" s="96" t="s">
        <v>35</v>
      </c>
      <c r="C40" s="97" t="s">
        <v>36</v>
      </c>
      <c r="D40" s="201">
        <v>101148.99</v>
      </c>
      <c r="E40" s="306">
        <v>-70404.179999999993</v>
      </c>
    </row>
    <row r="41" spans="2:6" ht="13.5" thickBot="1">
      <c r="B41" s="98" t="s">
        <v>37</v>
      </c>
      <c r="C41" s="99" t="s">
        <v>38</v>
      </c>
      <c r="D41" s="202">
        <v>810778.04</v>
      </c>
      <c r="E41" s="147">
        <f>E26+E27+E40</f>
        <v>299205.50000000006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3346.9182999999998</v>
      </c>
      <c r="E47" s="148">
        <v>2707.7606500000002</v>
      </c>
    </row>
    <row r="48" spans="2:6">
      <c r="B48" s="183" t="s">
        <v>6</v>
      </c>
      <c r="C48" s="184" t="s">
        <v>41</v>
      </c>
      <c r="D48" s="203">
        <v>3782.6725700000002</v>
      </c>
      <c r="E48" s="148">
        <v>1537.6991700000001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185.51</v>
      </c>
      <c r="E50" s="148">
        <v>226.82</v>
      </c>
    </row>
    <row r="51" spans="2:5">
      <c r="B51" s="181" t="s">
        <v>6</v>
      </c>
      <c r="C51" s="182" t="s">
        <v>114</v>
      </c>
      <c r="D51" s="203">
        <v>184.16</v>
      </c>
      <c r="E51" s="74">
        <v>151.97</v>
      </c>
    </row>
    <row r="52" spans="2:5">
      <c r="B52" s="181" t="s">
        <v>8</v>
      </c>
      <c r="C52" s="182" t="s">
        <v>115</v>
      </c>
      <c r="D52" s="203">
        <v>215.45000000000002</v>
      </c>
      <c r="E52" s="74">
        <v>231.55</v>
      </c>
    </row>
    <row r="53" spans="2:5" ht="12.75" customHeight="1" thickBot="1">
      <c r="B53" s="185" t="s">
        <v>9</v>
      </c>
      <c r="C53" s="186" t="s">
        <v>41</v>
      </c>
      <c r="D53" s="205">
        <v>214.34</v>
      </c>
      <c r="E53" s="309">
        <v>194.58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299205.5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299205.5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299205.5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299205.5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37"/>
      <c r="C4" s="137"/>
      <c r="D4" s="137"/>
      <c r="E4" s="137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196</v>
      </c>
      <c r="C6" s="351"/>
      <c r="D6" s="351"/>
      <c r="E6" s="351"/>
    </row>
    <row r="7" spans="2:7" ht="14.25">
      <c r="B7" s="135"/>
      <c r="C7" s="135"/>
      <c r="D7" s="135"/>
      <c r="E7" s="135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6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53043.67</v>
      </c>
      <c r="E11" s="229">
        <f>SUM(E12:E14)</f>
        <v>50941.97</v>
      </c>
    </row>
    <row r="12" spans="2:7">
      <c r="B12" s="170" t="s">
        <v>4</v>
      </c>
      <c r="C12" s="171" t="s">
        <v>5</v>
      </c>
      <c r="D12" s="245">
        <v>53043.67</v>
      </c>
      <c r="E12" s="251">
        <v>50941.97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53043.67</v>
      </c>
      <c r="E21" s="147">
        <f>E11-E17</f>
        <v>50941.97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57250.65</v>
      </c>
      <c r="E26" s="219">
        <f>D21</f>
        <v>53043.67</v>
      </c>
    </row>
    <row r="27" spans="2:6">
      <c r="B27" s="9" t="s">
        <v>17</v>
      </c>
      <c r="C27" s="10" t="s">
        <v>111</v>
      </c>
      <c r="D27" s="198">
        <v>-6502.3</v>
      </c>
      <c r="E27" s="292">
        <v>-558.85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6502.3</v>
      </c>
      <c r="E32" s="293">
        <v>558.85</v>
      </c>
      <c r="F32" s="71"/>
    </row>
    <row r="33" spans="2:6">
      <c r="B33" s="178" t="s">
        <v>4</v>
      </c>
      <c r="C33" s="171" t="s">
        <v>25</v>
      </c>
      <c r="D33" s="199">
        <v>5948.42</v>
      </c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171.08</v>
      </c>
      <c r="E35" s="295">
        <v>191.84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382.8</v>
      </c>
      <c r="E37" s="295">
        <v>367.01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1505.58</v>
      </c>
      <c r="E40" s="306">
        <v>-1542.85</v>
      </c>
    </row>
    <row r="41" spans="2:6" ht="13.5" thickBot="1">
      <c r="B41" s="98" t="s">
        <v>37</v>
      </c>
      <c r="C41" s="99" t="s">
        <v>38</v>
      </c>
      <c r="D41" s="202">
        <v>52253.93</v>
      </c>
      <c r="E41" s="147">
        <f>E26+E27+E40</f>
        <v>50941.97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487.94549999999998</v>
      </c>
      <c r="E47" s="148">
        <v>429.39909999999998</v>
      </c>
    </row>
    <row r="48" spans="2:6">
      <c r="B48" s="183" t="s">
        <v>6</v>
      </c>
      <c r="C48" s="184" t="s">
        <v>41</v>
      </c>
      <c r="D48" s="203">
        <v>433.82256000000001</v>
      </c>
      <c r="E48" s="148">
        <v>424.76418999999999</v>
      </c>
    </row>
    <row r="49" spans="2:5">
      <c r="B49" s="119" t="s">
        <v>23</v>
      </c>
      <c r="C49" s="123" t="s">
        <v>113</v>
      </c>
      <c r="D49" s="277"/>
      <c r="E49" s="281"/>
    </row>
    <row r="50" spans="2:5">
      <c r="B50" s="181" t="s">
        <v>4</v>
      </c>
      <c r="C50" s="182" t="s">
        <v>40</v>
      </c>
      <c r="D50" s="203">
        <v>117.33</v>
      </c>
      <c r="E50" s="148">
        <v>123.53</v>
      </c>
    </row>
    <row r="51" spans="2:5">
      <c r="B51" s="181" t="s">
        <v>6</v>
      </c>
      <c r="C51" s="182" t="s">
        <v>114</v>
      </c>
      <c r="D51" s="203">
        <v>117.02</v>
      </c>
      <c r="E51" s="148">
        <v>112.78</v>
      </c>
    </row>
    <row r="52" spans="2:5">
      <c r="B52" s="181" t="s">
        <v>8</v>
      </c>
      <c r="C52" s="182" t="s">
        <v>115</v>
      </c>
      <c r="D52" s="203">
        <v>121.19</v>
      </c>
      <c r="E52" s="74">
        <v>126.54</v>
      </c>
    </row>
    <row r="53" spans="2:5" ht="13.5" customHeight="1" thickBot="1">
      <c r="B53" s="185" t="s">
        <v>9</v>
      </c>
      <c r="C53" s="186" t="s">
        <v>41</v>
      </c>
      <c r="D53" s="205">
        <v>120.45</v>
      </c>
      <c r="E53" s="309">
        <v>119.93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.7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50941.97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50941.97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50941.97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50941.97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F81"/>
  <sheetViews>
    <sheetView zoomScale="80" zoomScaleNormal="80" workbookViewId="0">
      <selection activeCell="J24" sqref="J2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6"/>
      <c r="C4" s="146"/>
      <c r="D4" s="146"/>
      <c r="E4" s="146"/>
    </row>
    <row r="5" spans="2:5" ht="14.25">
      <c r="B5" s="350" t="s">
        <v>1</v>
      </c>
      <c r="C5" s="350"/>
      <c r="D5" s="350"/>
      <c r="E5" s="350"/>
    </row>
    <row r="6" spans="2:5" ht="14.25">
      <c r="B6" s="351" t="s">
        <v>197</v>
      </c>
      <c r="C6" s="351"/>
      <c r="D6" s="351"/>
      <c r="E6" s="351"/>
    </row>
    <row r="7" spans="2:5" ht="14.25">
      <c r="B7" s="161"/>
      <c r="C7" s="161"/>
      <c r="D7" s="161"/>
      <c r="E7" s="161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62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0</v>
      </c>
      <c r="E11" s="229">
        <f>E12</f>
        <v>20087.61</v>
      </c>
    </row>
    <row r="12" spans="2:5">
      <c r="B12" s="170" t="s">
        <v>4</v>
      </c>
      <c r="C12" s="171" t="s">
        <v>5</v>
      </c>
      <c r="D12" s="245">
        <v>0</v>
      </c>
      <c r="E12" s="251">
        <v>20087.61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0</v>
      </c>
      <c r="E21" s="147">
        <f>E11</f>
        <v>20087.61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0</v>
      </c>
      <c r="E26" s="219">
        <f>D21</f>
        <v>0</v>
      </c>
    </row>
    <row r="27" spans="2:6">
      <c r="B27" s="9" t="s">
        <v>17</v>
      </c>
      <c r="C27" s="10" t="s">
        <v>111</v>
      </c>
      <c r="D27" s="198">
        <v>-1.69</v>
      </c>
      <c r="E27" s="292">
        <v>20075.310000000001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20075.310000000001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>
        <v>20075.310000000001</v>
      </c>
      <c r="F31" s="71"/>
    </row>
    <row r="32" spans="2:6">
      <c r="B32" s="91" t="s">
        <v>23</v>
      </c>
      <c r="C32" s="11" t="s">
        <v>24</v>
      </c>
      <c r="D32" s="198">
        <v>1.69</v>
      </c>
      <c r="E32" s="293">
        <v>0</v>
      </c>
      <c r="F32" s="71"/>
    </row>
    <row r="33" spans="2:6">
      <c r="B33" s="178" t="s">
        <v>4</v>
      </c>
      <c r="C33" s="171" t="s">
        <v>25</v>
      </c>
      <c r="D33" s="199">
        <v>1.69</v>
      </c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/>
      <c r="E35" s="295"/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/>
      <c r="E37" s="295"/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1.69</v>
      </c>
      <c r="E40" s="306">
        <v>12.3</v>
      </c>
    </row>
    <row r="41" spans="2:6" ht="13.5" thickBot="1">
      <c r="B41" s="98" t="s">
        <v>37</v>
      </c>
      <c r="C41" s="99" t="s">
        <v>38</v>
      </c>
      <c r="D41" s="202">
        <v>0</v>
      </c>
      <c r="E41" s="147">
        <f>E26+E27+E40</f>
        <v>20087.61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/>
      <c r="E47" s="148"/>
    </row>
    <row r="48" spans="2:6">
      <c r="B48" s="183" t="s">
        <v>6</v>
      </c>
      <c r="C48" s="184" t="s">
        <v>41</v>
      </c>
      <c r="D48" s="203"/>
      <c r="E48" s="148">
        <v>178.144834</v>
      </c>
    </row>
    <row r="49" spans="2:5">
      <c r="B49" s="119" t="s">
        <v>23</v>
      </c>
      <c r="C49" s="123" t="s">
        <v>113</v>
      </c>
      <c r="D49" s="204"/>
      <c r="E49" s="148"/>
    </row>
    <row r="50" spans="2:5">
      <c r="B50" s="181" t="s">
        <v>4</v>
      </c>
      <c r="C50" s="182" t="s">
        <v>40</v>
      </c>
      <c r="D50" s="203"/>
      <c r="E50" s="148"/>
    </row>
    <row r="51" spans="2:5">
      <c r="B51" s="181" t="s">
        <v>6</v>
      </c>
      <c r="C51" s="182" t="s">
        <v>114</v>
      </c>
      <c r="D51" s="203"/>
      <c r="E51" s="148">
        <v>90.67</v>
      </c>
    </row>
    <row r="52" spans="2:5">
      <c r="B52" s="181" t="s">
        <v>8</v>
      </c>
      <c r="C52" s="182" t="s">
        <v>115</v>
      </c>
      <c r="D52" s="203"/>
      <c r="E52" s="74">
        <v>127.81</v>
      </c>
    </row>
    <row r="53" spans="2:5" ht="13.5" thickBot="1">
      <c r="B53" s="185" t="s">
        <v>9</v>
      </c>
      <c r="C53" s="186" t="s">
        <v>41</v>
      </c>
      <c r="D53" s="205"/>
      <c r="E53" s="309">
        <v>112.76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20087.61</v>
      </c>
      <c r="E58" s="31">
        <v>0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20087.61</v>
      </c>
      <c r="E64" s="80">
        <f>E58</f>
        <v>0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20087.61</v>
      </c>
      <c r="E74" s="66">
        <f>E58+E72-E73</f>
        <v>0</v>
      </c>
    </row>
    <row r="75" spans="2:5">
      <c r="B75" s="101" t="s">
        <v>4</v>
      </c>
      <c r="C75" s="15" t="s">
        <v>67</v>
      </c>
      <c r="D75" s="77">
        <f>D74</f>
        <v>20087.61</v>
      </c>
      <c r="E75" s="78">
        <f>E74</f>
        <v>0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198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33933.9</v>
      </c>
      <c r="E11" s="229">
        <f>SUM(E12:E14)</f>
        <v>28267.21</v>
      </c>
    </row>
    <row r="12" spans="2:7">
      <c r="B12" s="170" t="s">
        <v>4</v>
      </c>
      <c r="C12" s="171" t="s">
        <v>5</v>
      </c>
      <c r="D12" s="245">
        <v>33933.9</v>
      </c>
      <c r="E12" s="251">
        <v>28267.21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33933.9</v>
      </c>
      <c r="E21" s="147">
        <f>E11-E17</f>
        <v>28267.21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33899.839999999997</v>
      </c>
      <c r="E26" s="219">
        <f>D21</f>
        <v>33933.9</v>
      </c>
    </row>
    <row r="27" spans="2:6">
      <c r="B27" s="9" t="s">
        <v>17</v>
      </c>
      <c r="C27" s="10" t="s">
        <v>111</v>
      </c>
      <c r="D27" s="198">
        <v>-2672.4900000000002</v>
      </c>
      <c r="E27" s="292">
        <v>-1520.0700000000002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2672.4900000000002</v>
      </c>
      <c r="E32" s="293">
        <v>1520.0700000000002</v>
      </c>
      <c r="F32" s="71"/>
    </row>
    <row r="33" spans="2:6">
      <c r="B33" s="178" t="s">
        <v>4</v>
      </c>
      <c r="C33" s="171" t="s">
        <v>25</v>
      </c>
      <c r="D33" s="199">
        <v>2033.72</v>
      </c>
      <c r="E33" s="295">
        <v>891.6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312.33</v>
      </c>
      <c r="E35" s="295">
        <v>371.26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326.44</v>
      </c>
      <c r="E37" s="295">
        <v>257.20999999999998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2358.34</v>
      </c>
      <c r="E40" s="306">
        <v>-4146.62</v>
      </c>
    </row>
    <row r="41" spans="2:6" ht="13.5" thickBot="1">
      <c r="B41" s="98" t="s">
        <v>37</v>
      </c>
      <c r="C41" s="99" t="s">
        <v>38</v>
      </c>
      <c r="D41" s="202">
        <v>33585.689999999995</v>
      </c>
      <c r="E41" s="147">
        <f>E26+E27+E40</f>
        <v>28267.210000000003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399.85660000000001</v>
      </c>
      <c r="E47" s="148">
        <v>362.69670000000002</v>
      </c>
    </row>
    <row r="48" spans="2:6">
      <c r="B48" s="183" t="s">
        <v>6</v>
      </c>
      <c r="C48" s="184" t="s">
        <v>41</v>
      </c>
      <c r="D48" s="203">
        <v>370.09030000000001</v>
      </c>
      <c r="E48" s="148">
        <v>345.56490000000002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84.78</v>
      </c>
      <c r="E50" s="148">
        <v>93.56</v>
      </c>
    </row>
    <row r="51" spans="2:5">
      <c r="B51" s="181" t="s">
        <v>6</v>
      </c>
      <c r="C51" s="182" t="s">
        <v>114</v>
      </c>
      <c r="D51" s="203">
        <v>84.44</v>
      </c>
      <c r="E51" s="74">
        <v>60.44</v>
      </c>
    </row>
    <row r="52" spans="2:5">
      <c r="B52" s="181" t="s">
        <v>8</v>
      </c>
      <c r="C52" s="182" t="s">
        <v>115</v>
      </c>
      <c r="D52" s="203">
        <v>94.02</v>
      </c>
      <c r="E52" s="74">
        <v>97.57</v>
      </c>
    </row>
    <row r="53" spans="2:5" ht="12.75" customHeight="1" thickBot="1">
      <c r="B53" s="185" t="s">
        <v>9</v>
      </c>
      <c r="C53" s="186" t="s">
        <v>41</v>
      </c>
      <c r="D53" s="205">
        <v>90.75</v>
      </c>
      <c r="E53" s="309">
        <v>81.8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28267.21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28267.21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28267.21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28267.21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>
    <pageSetUpPr fitToPage="1"/>
  </sheetPr>
  <dimension ref="A1:G81"/>
  <sheetViews>
    <sheetView zoomScale="80" zoomScaleNormal="80" workbookViewId="0">
      <selection activeCell="G1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 customFormat="1">
      <c r="B1" s="1"/>
      <c r="C1" s="1"/>
      <c r="D1" s="2"/>
      <c r="E1" s="2"/>
    </row>
    <row r="2" spans="2:7" customFormat="1" ht="15.75">
      <c r="B2" s="349" t="s">
        <v>0</v>
      </c>
      <c r="C2" s="349"/>
      <c r="D2" s="349"/>
      <c r="E2" s="349"/>
      <c r="G2" s="71"/>
    </row>
    <row r="3" spans="2:7" customFormat="1" ht="15.75">
      <c r="B3" s="349" t="s">
        <v>272</v>
      </c>
      <c r="C3" s="349"/>
      <c r="D3" s="349"/>
      <c r="E3" s="349"/>
    </row>
    <row r="4" spans="2:7" customFormat="1" ht="15">
      <c r="B4" s="140"/>
      <c r="C4" s="140"/>
      <c r="D4" s="140"/>
      <c r="E4" s="140"/>
    </row>
    <row r="5" spans="2:7" customFormat="1" ht="21" customHeight="1">
      <c r="B5" s="350" t="s">
        <v>1</v>
      </c>
      <c r="C5" s="350"/>
      <c r="D5" s="350"/>
      <c r="E5" s="350"/>
    </row>
    <row r="6" spans="2:7" customFormat="1" ht="14.25">
      <c r="B6" s="351" t="s">
        <v>268</v>
      </c>
      <c r="C6" s="351"/>
      <c r="D6" s="351"/>
      <c r="E6" s="351"/>
    </row>
    <row r="7" spans="2:7" customFormat="1" ht="14.25">
      <c r="B7" s="138"/>
      <c r="C7" s="138"/>
      <c r="D7" s="138"/>
      <c r="E7" s="138"/>
    </row>
    <row r="8" spans="2:7" customFormat="1" ht="13.5">
      <c r="B8" s="353" t="s">
        <v>18</v>
      </c>
      <c r="C8" s="355"/>
      <c r="D8" s="355"/>
      <c r="E8" s="355"/>
    </row>
    <row r="9" spans="2:7" customFormat="1" ht="16.5" thickBot="1">
      <c r="B9" s="352" t="s">
        <v>103</v>
      </c>
      <c r="C9" s="352"/>
      <c r="D9" s="352"/>
      <c r="E9" s="352"/>
    </row>
    <row r="10" spans="2:7" customFormat="1" ht="13.5" thickBot="1">
      <c r="B10" s="139"/>
      <c r="C10" s="75" t="s">
        <v>2</v>
      </c>
      <c r="D10" s="70" t="s">
        <v>250</v>
      </c>
      <c r="E10" s="261" t="s">
        <v>264</v>
      </c>
    </row>
    <row r="11" spans="2:7" customFormat="1">
      <c r="B11" s="89" t="s">
        <v>3</v>
      </c>
      <c r="C11" s="127" t="s">
        <v>109</v>
      </c>
      <c r="D11" s="228">
        <v>4344.21</v>
      </c>
      <c r="E11" s="229">
        <f>SUM(E12:E14)</f>
        <v>0</v>
      </c>
    </row>
    <row r="12" spans="2:7" customFormat="1">
      <c r="B12" s="170" t="s">
        <v>4</v>
      </c>
      <c r="C12" s="171" t="s">
        <v>5</v>
      </c>
      <c r="D12" s="245">
        <v>4344.21</v>
      </c>
      <c r="E12" s="251">
        <v>0</v>
      </c>
    </row>
    <row r="13" spans="2:7" customFormat="1">
      <c r="B13" s="170" t="s">
        <v>6</v>
      </c>
      <c r="C13" s="172" t="s">
        <v>7</v>
      </c>
      <c r="D13" s="241"/>
      <c r="E13" s="252"/>
    </row>
    <row r="14" spans="2:7" customFormat="1">
      <c r="B14" s="170" t="s">
        <v>8</v>
      </c>
      <c r="C14" s="172" t="s">
        <v>10</v>
      </c>
      <c r="D14" s="241"/>
      <c r="E14" s="252"/>
    </row>
    <row r="15" spans="2:7" customFormat="1">
      <c r="B15" s="170" t="s">
        <v>106</v>
      </c>
      <c r="C15" s="172" t="s">
        <v>11</v>
      </c>
      <c r="D15" s="241"/>
      <c r="E15" s="252"/>
    </row>
    <row r="16" spans="2:7" customFormat="1">
      <c r="B16" s="173" t="s">
        <v>107</v>
      </c>
      <c r="C16" s="174" t="s">
        <v>12</v>
      </c>
      <c r="D16" s="243"/>
      <c r="E16" s="253"/>
    </row>
    <row r="17" spans="2:6" customFormat="1">
      <c r="B17" s="9" t="s">
        <v>13</v>
      </c>
      <c r="C17" s="11" t="s">
        <v>65</v>
      </c>
      <c r="D17" s="244"/>
      <c r="E17" s="254"/>
    </row>
    <row r="18" spans="2:6" customFormat="1">
      <c r="B18" s="170" t="s">
        <v>4</v>
      </c>
      <c r="C18" s="171" t="s">
        <v>11</v>
      </c>
      <c r="D18" s="243"/>
      <c r="E18" s="253"/>
    </row>
    <row r="19" spans="2:6" customFormat="1" ht="15" customHeight="1">
      <c r="B19" s="170" t="s">
        <v>6</v>
      </c>
      <c r="C19" s="172" t="s">
        <v>108</v>
      </c>
      <c r="D19" s="241"/>
      <c r="E19" s="252"/>
    </row>
    <row r="20" spans="2:6" customFormat="1" ht="13.5" thickBot="1">
      <c r="B20" s="175" t="s">
        <v>8</v>
      </c>
      <c r="C20" s="176" t="s">
        <v>14</v>
      </c>
      <c r="D20" s="230"/>
      <c r="E20" s="231"/>
    </row>
    <row r="21" spans="2:6" customFormat="1" ht="13.5" thickBot="1">
      <c r="B21" s="359" t="s">
        <v>110</v>
      </c>
      <c r="C21" s="360"/>
      <c r="D21" s="232">
        <v>4344.21</v>
      </c>
      <c r="E21" s="147">
        <f>E11-E17</f>
        <v>0</v>
      </c>
      <c r="F21" s="76"/>
    </row>
    <row r="22" spans="2:6" customFormat="1">
      <c r="B22" s="3"/>
      <c r="C22" s="7"/>
      <c r="D22" s="8"/>
      <c r="E22" s="8"/>
    </row>
    <row r="23" spans="2:6" customFormat="1" ht="13.5">
      <c r="B23" s="353" t="s">
        <v>104</v>
      </c>
      <c r="C23" s="363"/>
      <c r="D23" s="363"/>
      <c r="E23" s="363"/>
    </row>
    <row r="24" spans="2:6" customFormat="1" ht="15.75" customHeight="1" thickBot="1">
      <c r="B24" s="352" t="s">
        <v>105</v>
      </c>
      <c r="C24" s="364"/>
      <c r="D24" s="364"/>
      <c r="E24" s="364"/>
    </row>
    <row r="25" spans="2:6" customFormat="1" ht="13.5" thickBot="1">
      <c r="B25" s="210"/>
      <c r="C25" s="177" t="s">
        <v>2</v>
      </c>
      <c r="D25" s="70" t="s">
        <v>265</v>
      </c>
      <c r="E25" s="261" t="s">
        <v>264</v>
      </c>
    </row>
    <row r="26" spans="2:6" customFormat="1">
      <c r="B26" s="94" t="s">
        <v>15</v>
      </c>
      <c r="C26" s="95" t="s">
        <v>16</v>
      </c>
      <c r="D26" s="197">
        <v>4223.03</v>
      </c>
      <c r="E26" s="219">
        <f>D21</f>
        <v>4344.21</v>
      </c>
    </row>
    <row r="27" spans="2:6" customFormat="1">
      <c r="B27" s="9" t="s">
        <v>17</v>
      </c>
      <c r="C27" s="10" t="s">
        <v>111</v>
      </c>
      <c r="D27" s="198">
        <v>0</v>
      </c>
      <c r="E27" s="292">
        <f>E28-E32</f>
        <v>-2986.1</v>
      </c>
      <c r="F27" s="71"/>
    </row>
    <row r="28" spans="2:6" customFormat="1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 customFormat="1">
      <c r="B29" s="178" t="s">
        <v>4</v>
      </c>
      <c r="C29" s="171" t="s">
        <v>20</v>
      </c>
      <c r="D29" s="199"/>
      <c r="E29" s="295"/>
      <c r="F29" s="71"/>
    </row>
    <row r="30" spans="2:6" customFormat="1">
      <c r="B30" s="178" t="s">
        <v>6</v>
      </c>
      <c r="C30" s="171" t="s">
        <v>21</v>
      </c>
      <c r="D30" s="199"/>
      <c r="E30" s="295"/>
      <c r="F30" s="71"/>
    </row>
    <row r="31" spans="2:6" customFormat="1">
      <c r="B31" s="178" t="s">
        <v>8</v>
      </c>
      <c r="C31" s="171" t="s">
        <v>22</v>
      </c>
      <c r="D31" s="199"/>
      <c r="E31" s="295"/>
      <c r="F31" s="71"/>
    </row>
    <row r="32" spans="2:6" customFormat="1">
      <c r="B32" s="91" t="s">
        <v>23</v>
      </c>
      <c r="C32" s="11" t="s">
        <v>24</v>
      </c>
      <c r="D32" s="198">
        <v>0</v>
      </c>
      <c r="E32" s="293">
        <f>SUM(E33:E39)</f>
        <v>2986.1</v>
      </c>
      <c r="F32" s="71"/>
    </row>
    <row r="33" spans="2:6" customFormat="1">
      <c r="B33" s="178" t="s">
        <v>4</v>
      </c>
      <c r="C33" s="171" t="s">
        <v>25</v>
      </c>
      <c r="D33" s="199"/>
      <c r="E33" s="295"/>
      <c r="F33" s="71"/>
    </row>
    <row r="34" spans="2:6" customFormat="1">
      <c r="B34" s="178" t="s">
        <v>6</v>
      </c>
      <c r="C34" s="171" t="s">
        <v>26</v>
      </c>
      <c r="D34" s="199"/>
      <c r="E34" s="295"/>
      <c r="F34" s="71"/>
    </row>
    <row r="35" spans="2:6" customFormat="1">
      <c r="B35" s="178" t="s">
        <v>8</v>
      </c>
      <c r="C35" s="171" t="s">
        <v>27</v>
      </c>
      <c r="D35" s="199"/>
      <c r="E35" s="295">
        <v>1.87</v>
      </c>
      <c r="F35" s="71"/>
    </row>
    <row r="36" spans="2:6" customFormat="1">
      <c r="B36" s="178" t="s">
        <v>9</v>
      </c>
      <c r="C36" s="171" t="s">
        <v>28</v>
      </c>
      <c r="D36" s="199"/>
      <c r="E36" s="295"/>
      <c r="F36" s="71"/>
    </row>
    <row r="37" spans="2:6" customFormat="1" ht="25.5">
      <c r="B37" s="178" t="s">
        <v>29</v>
      </c>
      <c r="C37" s="171" t="s">
        <v>30</v>
      </c>
      <c r="D37" s="199"/>
      <c r="E37" s="295">
        <v>22.46</v>
      </c>
      <c r="F37" s="71"/>
    </row>
    <row r="38" spans="2:6" customFormat="1">
      <c r="B38" s="178" t="s">
        <v>31</v>
      </c>
      <c r="C38" s="171" t="s">
        <v>32</v>
      </c>
      <c r="D38" s="199"/>
      <c r="E38" s="295"/>
      <c r="F38" s="71"/>
    </row>
    <row r="39" spans="2:6" customFormat="1">
      <c r="B39" s="179" t="s">
        <v>33</v>
      </c>
      <c r="C39" s="180" t="s">
        <v>34</v>
      </c>
      <c r="D39" s="200"/>
      <c r="E39" s="297">
        <v>2961.77</v>
      </c>
      <c r="F39" s="71"/>
    </row>
    <row r="40" spans="2:6" customFormat="1" ht="13.5" thickBot="1">
      <c r="B40" s="96" t="s">
        <v>35</v>
      </c>
      <c r="C40" s="97" t="s">
        <v>36</v>
      </c>
      <c r="D40" s="201">
        <v>216.25</v>
      </c>
      <c r="E40" s="306">
        <v>-1358.11</v>
      </c>
    </row>
    <row r="41" spans="2:6" customFormat="1" ht="13.5" thickBot="1">
      <c r="B41" s="98" t="s">
        <v>37</v>
      </c>
      <c r="C41" s="99" t="s">
        <v>38</v>
      </c>
      <c r="D41" s="202">
        <v>4439.28</v>
      </c>
      <c r="E41" s="147">
        <f>E26+E27+E40</f>
        <v>0</v>
      </c>
      <c r="F41" s="76"/>
    </row>
    <row r="42" spans="2:6" customFormat="1">
      <c r="B42" s="92"/>
      <c r="C42" s="92"/>
      <c r="D42" s="93"/>
      <c r="E42" s="93"/>
      <c r="F42" s="76"/>
    </row>
    <row r="43" spans="2:6" customFormat="1" ht="13.5">
      <c r="B43" s="354" t="s">
        <v>60</v>
      </c>
      <c r="C43" s="366"/>
      <c r="D43" s="366"/>
      <c r="E43" s="366"/>
    </row>
    <row r="44" spans="2:6" customFormat="1" ht="18" customHeight="1" thickBot="1">
      <c r="B44" s="352" t="s">
        <v>121</v>
      </c>
      <c r="C44" s="365"/>
      <c r="D44" s="365"/>
      <c r="E44" s="365"/>
    </row>
    <row r="45" spans="2:6" customFormat="1" ht="13.5" thickBot="1">
      <c r="B45" s="210"/>
      <c r="C45" s="29" t="s">
        <v>39</v>
      </c>
      <c r="D45" s="70" t="s">
        <v>265</v>
      </c>
      <c r="E45" s="261" t="s">
        <v>264</v>
      </c>
    </row>
    <row r="46" spans="2:6" customFormat="1">
      <c r="B46" s="13" t="s">
        <v>18</v>
      </c>
      <c r="C46" s="30" t="s">
        <v>112</v>
      </c>
      <c r="D46" s="100"/>
      <c r="E46" s="28"/>
    </row>
    <row r="47" spans="2:6" customFormat="1">
      <c r="B47" s="181" t="s">
        <v>4</v>
      </c>
      <c r="C47" s="182" t="s">
        <v>40</v>
      </c>
      <c r="D47" s="203">
        <v>37.220399999999998</v>
      </c>
      <c r="E47" s="148">
        <v>36.322800000000001</v>
      </c>
    </row>
    <row r="48" spans="2:6" customFormat="1">
      <c r="B48" s="183" t="s">
        <v>6</v>
      </c>
      <c r="C48" s="184" t="s">
        <v>41</v>
      </c>
      <c r="D48" s="203">
        <v>37.220399999999998</v>
      </c>
      <c r="E48" s="148"/>
    </row>
    <row r="49" spans="2:5" customFormat="1">
      <c r="B49" s="119" t="s">
        <v>23</v>
      </c>
      <c r="C49" s="123" t="s">
        <v>113</v>
      </c>
      <c r="D49" s="277"/>
      <c r="E49" s="148"/>
    </row>
    <row r="50" spans="2:5" customFormat="1">
      <c r="B50" s="181" t="s">
        <v>4</v>
      </c>
      <c r="C50" s="182" t="s">
        <v>40</v>
      </c>
      <c r="D50" s="203">
        <v>113.46</v>
      </c>
      <c r="E50" s="148">
        <v>119.6</v>
      </c>
    </row>
    <row r="51" spans="2:5" customFormat="1">
      <c r="B51" s="181" t="s">
        <v>6</v>
      </c>
      <c r="C51" s="182" t="s">
        <v>114</v>
      </c>
      <c r="D51" s="203">
        <v>112.19</v>
      </c>
      <c r="E51" s="74">
        <v>80.44</v>
      </c>
    </row>
    <row r="52" spans="2:5" customFormat="1">
      <c r="B52" s="181" t="s">
        <v>8</v>
      </c>
      <c r="C52" s="182" t="s">
        <v>115</v>
      </c>
      <c r="D52" s="203">
        <v>123.7</v>
      </c>
      <c r="E52" s="74">
        <v>122.53</v>
      </c>
    </row>
    <row r="53" spans="2:5" customFormat="1" ht="13.5" customHeight="1" thickBot="1">
      <c r="B53" s="185" t="s">
        <v>9</v>
      </c>
      <c r="C53" s="186" t="s">
        <v>41</v>
      </c>
      <c r="D53" s="205">
        <v>119.27</v>
      </c>
      <c r="E53" s="309"/>
    </row>
    <row r="54" spans="2:5" customFormat="1">
      <c r="B54" s="108"/>
      <c r="C54" s="109"/>
      <c r="D54" s="110"/>
      <c r="E54" s="110"/>
    </row>
    <row r="55" spans="2:5" customFormat="1" ht="13.5">
      <c r="B55" s="354" t="s">
        <v>62</v>
      </c>
      <c r="C55" s="355"/>
      <c r="D55" s="355"/>
      <c r="E55" s="355"/>
    </row>
    <row r="56" spans="2:5" customFormat="1" ht="17.25" customHeight="1" thickBot="1">
      <c r="B56" s="352" t="s">
        <v>116</v>
      </c>
      <c r="C56" s="356"/>
      <c r="D56" s="356"/>
      <c r="E56" s="356"/>
    </row>
    <row r="57" spans="2:5" customFormat="1" ht="23.25" thickBot="1">
      <c r="B57" s="347" t="s">
        <v>42</v>
      </c>
      <c r="C57" s="348"/>
      <c r="D57" s="18" t="s">
        <v>122</v>
      </c>
      <c r="E57" s="19" t="s">
        <v>117</v>
      </c>
    </row>
    <row r="58" spans="2:5" customFormat="1">
      <c r="B58" s="20" t="s">
        <v>18</v>
      </c>
      <c r="C58" s="125" t="s">
        <v>43</v>
      </c>
      <c r="D58" s="126">
        <f>D64</f>
        <v>0</v>
      </c>
      <c r="E58" s="31">
        <v>0</v>
      </c>
    </row>
    <row r="59" spans="2:5" customFormat="1" ht="25.5">
      <c r="B59" s="122" t="s">
        <v>4</v>
      </c>
      <c r="C59" s="22" t="s">
        <v>44</v>
      </c>
      <c r="D59" s="79">
        <v>0</v>
      </c>
      <c r="E59" s="80">
        <v>0</v>
      </c>
    </row>
    <row r="60" spans="2:5" customFormat="1" ht="25.5">
      <c r="B60" s="101" t="s">
        <v>6</v>
      </c>
      <c r="C60" s="15" t="s">
        <v>45</v>
      </c>
      <c r="D60" s="77">
        <v>0</v>
      </c>
      <c r="E60" s="78">
        <v>0</v>
      </c>
    </row>
    <row r="61" spans="2:5" customFormat="1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 customFormat="1">
      <c r="B62" s="101" t="s">
        <v>9</v>
      </c>
      <c r="C62" s="15" t="s">
        <v>47</v>
      </c>
      <c r="D62" s="77">
        <v>0</v>
      </c>
      <c r="E62" s="78">
        <v>0</v>
      </c>
    </row>
    <row r="63" spans="2:5" customFormat="1">
      <c r="B63" s="101" t="s">
        <v>29</v>
      </c>
      <c r="C63" s="15" t="s">
        <v>48</v>
      </c>
      <c r="D63" s="77">
        <v>0</v>
      </c>
      <c r="E63" s="78">
        <v>0</v>
      </c>
    </row>
    <row r="64" spans="2:5" customFormat="1">
      <c r="B64" s="122" t="s">
        <v>31</v>
      </c>
      <c r="C64" s="22" t="s">
        <v>49</v>
      </c>
      <c r="D64" s="79">
        <f>E21</f>
        <v>0</v>
      </c>
      <c r="E64" s="80">
        <f>E58</f>
        <v>0</v>
      </c>
    </row>
    <row r="65" spans="2:5" customFormat="1">
      <c r="B65" s="122" t="s">
        <v>33</v>
      </c>
      <c r="C65" s="22" t="s">
        <v>118</v>
      </c>
      <c r="D65" s="79">
        <v>0</v>
      </c>
      <c r="E65" s="80">
        <v>0</v>
      </c>
    </row>
    <row r="66" spans="2:5" customFormat="1">
      <c r="B66" s="122" t="s">
        <v>50</v>
      </c>
      <c r="C66" s="22" t="s">
        <v>51</v>
      </c>
      <c r="D66" s="79">
        <v>0</v>
      </c>
      <c r="E66" s="80">
        <v>0</v>
      </c>
    </row>
    <row r="67" spans="2:5" customFormat="1">
      <c r="B67" s="101" t="s">
        <v>52</v>
      </c>
      <c r="C67" s="15" t="s">
        <v>53</v>
      </c>
      <c r="D67" s="77">
        <v>0</v>
      </c>
      <c r="E67" s="78">
        <v>0</v>
      </c>
    </row>
    <row r="68" spans="2:5" customFormat="1">
      <c r="B68" s="101" t="s">
        <v>54</v>
      </c>
      <c r="C68" s="15" t="s">
        <v>55</v>
      </c>
      <c r="D68" s="77">
        <v>0</v>
      </c>
      <c r="E68" s="78">
        <v>0</v>
      </c>
    </row>
    <row r="69" spans="2:5" customFormat="1">
      <c r="B69" s="101" t="s">
        <v>56</v>
      </c>
      <c r="C69" s="15" t="s">
        <v>57</v>
      </c>
      <c r="D69" s="239">
        <v>0</v>
      </c>
      <c r="E69" s="78">
        <v>0</v>
      </c>
    </row>
    <row r="70" spans="2:5" customFormat="1">
      <c r="B70" s="128" t="s">
        <v>58</v>
      </c>
      <c r="C70" s="112" t="s">
        <v>59</v>
      </c>
      <c r="D70" s="113">
        <v>0</v>
      </c>
      <c r="E70" s="114">
        <v>0</v>
      </c>
    </row>
    <row r="71" spans="2:5" customFormat="1">
      <c r="B71" s="129" t="s">
        <v>23</v>
      </c>
      <c r="C71" s="120" t="s">
        <v>61</v>
      </c>
      <c r="D71" s="121">
        <v>0</v>
      </c>
      <c r="E71" s="66">
        <v>0</v>
      </c>
    </row>
    <row r="72" spans="2:5" customFormat="1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 customFormat="1">
      <c r="B73" s="131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29" t="s">
        <v>64</v>
      </c>
      <c r="C74" s="120" t="s">
        <v>66</v>
      </c>
      <c r="D74" s="121">
        <f>D58</f>
        <v>0</v>
      </c>
      <c r="E74" s="66">
        <f>E58+E72-E73</f>
        <v>0</v>
      </c>
    </row>
    <row r="75" spans="2:5" customFormat="1">
      <c r="B75" s="101" t="s">
        <v>4</v>
      </c>
      <c r="C75" s="15" t="s">
        <v>67</v>
      </c>
      <c r="D75" s="77">
        <f>D74</f>
        <v>0</v>
      </c>
      <c r="E75" s="78">
        <f>E74</f>
        <v>0</v>
      </c>
    </row>
    <row r="76" spans="2:5" customFormat="1">
      <c r="B76" s="101" t="s">
        <v>6</v>
      </c>
      <c r="C76" s="15" t="s">
        <v>119</v>
      </c>
      <c r="D76" s="77">
        <v>0</v>
      </c>
      <c r="E76" s="78">
        <v>0</v>
      </c>
    </row>
    <row r="77" spans="2:5" customFormat="1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zoomScale="80" zoomScaleNormal="80" workbookViewId="0">
      <selection activeCell="G1" sqref="G1:L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 customFormat="1">
      <c r="B1" s="1"/>
      <c r="C1" s="1"/>
      <c r="D1" s="2"/>
      <c r="E1" s="2"/>
    </row>
    <row r="2" spans="2:5" customFormat="1" ht="15.75">
      <c r="B2" s="349" t="s">
        <v>0</v>
      </c>
      <c r="C2" s="349"/>
      <c r="D2" s="349"/>
      <c r="E2" s="349"/>
    </row>
    <row r="3" spans="2:5" customFormat="1" ht="15.75">
      <c r="B3" s="349" t="s">
        <v>272</v>
      </c>
      <c r="C3" s="349"/>
      <c r="D3" s="349"/>
      <c r="E3" s="349"/>
    </row>
    <row r="4" spans="2:5" customFormat="1" ht="15">
      <c r="B4" s="146"/>
      <c r="C4" s="146"/>
      <c r="D4" s="146"/>
      <c r="E4" s="146"/>
    </row>
    <row r="5" spans="2:5" customFormat="1" ht="21" customHeight="1">
      <c r="B5" s="350" t="s">
        <v>1</v>
      </c>
      <c r="C5" s="350"/>
      <c r="D5" s="350"/>
      <c r="E5" s="350"/>
    </row>
    <row r="6" spans="2:5" customFormat="1" ht="14.25">
      <c r="B6" s="351" t="s">
        <v>269</v>
      </c>
      <c r="C6" s="351"/>
      <c r="D6" s="351"/>
      <c r="E6" s="351"/>
    </row>
    <row r="7" spans="2:5" customFormat="1" ht="14.25">
      <c r="B7" s="215"/>
      <c r="C7" s="215"/>
      <c r="D7" s="215"/>
      <c r="E7" s="215"/>
    </row>
    <row r="8" spans="2:5" customFormat="1" ht="13.5">
      <c r="B8" s="353" t="s">
        <v>18</v>
      </c>
      <c r="C8" s="355"/>
      <c r="D8" s="355"/>
      <c r="E8" s="355"/>
    </row>
    <row r="9" spans="2:5" customFormat="1" ht="16.5" thickBot="1">
      <c r="B9" s="352" t="s">
        <v>103</v>
      </c>
      <c r="C9" s="352"/>
      <c r="D9" s="352"/>
      <c r="E9" s="352"/>
    </row>
    <row r="10" spans="2:5" customFormat="1" ht="13.5" thickBot="1">
      <c r="B10" s="216"/>
      <c r="C10" s="75" t="s">
        <v>2</v>
      </c>
      <c r="D10" s="70" t="s">
        <v>250</v>
      </c>
      <c r="E10" s="261" t="s">
        <v>264</v>
      </c>
    </row>
    <row r="11" spans="2:5" customFormat="1">
      <c r="B11" s="89" t="s">
        <v>3</v>
      </c>
      <c r="C11" s="127" t="s">
        <v>109</v>
      </c>
      <c r="D11" s="228"/>
      <c r="E11" s="229"/>
    </row>
    <row r="12" spans="2:5" customFormat="1">
      <c r="B12" s="170" t="s">
        <v>4</v>
      </c>
      <c r="C12" s="171" t="s">
        <v>5</v>
      </c>
      <c r="D12" s="245"/>
      <c r="E12" s="251"/>
    </row>
    <row r="13" spans="2:5" customFormat="1">
      <c r="B13" s="170" t="s">
        <v>6</v>
      </c>
      <c r="C13" s="172" t="s">
        <v>7</v>
      </c>
      <c r="D13" s="241"/>
      <c r="E13" s="252"/>
    </row>
    <row r="14" spans="2:5" customFormat="1">
      <c r="B14" s="170" t="s">
        <v>8</v>
      </c>
      <c r="C14" s="172" t="s">
        <v>10</v>
      </c>
      <c r="D14" s="241"/>
      <c r="E14" s="252"/>
    </row>
    <row r="15" spans="2:5" customFormat="1">
      <c r="B15" s="170" t="s">
        <v>106</v>
      </c>
      <c r="C15" s="172" t="s">
        <v>11</v>
      </c>
      <c r="D15" s="241"/>
      <c r="E15" s="252"/>
    </row>
    <row r="16" spans="2:5" customFormat="1">
      <c r="B16" s="173" t="s">
        <v>107</v>
      </c>
      <c r="C16" s="174" t="s">
        <v>12</v>
      </c>
      <c r="D16" s="243"/>
      <c r="E16" s="253"/>
    </row>
    <row r="17" spans="2:6" customFormat="1">
      <c r="B17" s="9" t="s">
        <v>13</v>
      </c>
      <c r="C17" s="11" t="s">
        <v>65</v>
      </c>
      <c r="D17" s="244"/>
      <c r="E17" s="254"/>
    </row>
    <row r="18" spans="2:6" customFormat="1">
      <c r="B18" s="170" t="s">
        <v>4</v>
      </c>
      <c r="C18" s="171" t="s">
        <v>11</v>
      </c>
      <c r="D18" s="243"/>
      <c r="E18" s="253"/>
    </row>
    <row r="19" spans="2:6" customFormat="1" ht="15" customHeight="1">
      <c r="B19" s="170" t="s">
        <v>6</v>
      </c>
      <c r="C19" s="172" t="s">
        <v>108</v>
      </c>
      <c r="D19" s="241"/>
      <c r="E19" s="252"/>
    </row>
    <row r="20" spans="2:6" customFormat="1" ht="13.5" thickBot="1">
      <c r="B20" s="175" t="s">
        <v>8</v>
      </c>
      <c r="C20" s="176" t="s">
        <v>14</v>
      </c>
      <c r="D20" s="230"/>
      <c r="E20" s="231"/>
    </row>
    <row r="21" spans="2:6" customFormat="1" ht="13.5" thickBot="1">
      <c r="B21" s="359" t="s">
        <v>110</v>
      </c>
      <c r="C21" s="360"/>
      <c r="D21" s="232"/>
      <c r="E21" s="147"/>
      <c r="F21" s="76"/>
    </row>
    <row r="22" spans="2:6" customFormat="1">
      <c r="B22" s="3"/>
      <c r="C22" s="7"/>
      <c r="D22" s="8"/>
      <c r="E22" s="8"/>
    </row>
    <row r="23" spans="2:6" customFormat="1" ht="13.5">
      <c r="B23" s="353" t="s">
        <v>104</v>
      </c>
      <c r="C23" s="363"/>
      <c r="D23" s="363"/>
      <c r="E23" s="363"/>
    </row>
    <row r="24" spans="2:6" customFormat="1" ht="15.75" customHeight="1" thickBot="1">
      <c r="B24" s="352" t="s">
        <v>105</v>
      </c>
      <c r="C24" s="364"/>
      <c r="D24" s="364"/>
      <c r="E24" s="364"/>
    </row>
    <row r="25" spans="2:6" customFormat="1" ht="13.5" thickBot="1">
      <c r="B25" s="216"/>
      <c r="C25" s="177" t="s">
        <v>2</v>
      </c>
      <c r="D25" s="70" t="s">
        <v>265</v>
      </c>
      <c r="E25" s="261" t="s">
        <v>264</v>
      </c>
    </row>
    <row r="26" spans="2:6" customFormat="1">
      <c r="B26" s="94" t="s">
        <v>15</v>
      </c>
      <c r="C26" s="95" t="s">
        <v>16</v>
      </c>
      <c r="D26" s="197">
        <v>21548.05</v>
      </c>
      <c r="E26" s="219"/>
    </row>
    <row r="27" spans="2:6" customFormat="1">
      <c r="B27" s="9" t="s">
        <v>17</v>
      </c>
      <c r="C27" s="10" t="s">
        <v>111</v>
      </c>
      <c r="D27" s="198">
        <v>-21253.66</v>
      </c>
      <c r="E27" s="292"/>
      <c r="F27" s="71"/>
    </row>
    <row r="28" spans="2:6" customFormat="1">
      <c r="B28" s="9" t="s">
        <v>18</v>
      </c>
      <c r="C28" s="10" t="s">
        <v>19</v>
      </c>
      <c r="D28" s="198">
        <v>0</v>
      </c>
      <c r="E28" s="293"/>
      <c r="F28" s="71"/>
    </row>
    <row r="29" spans="2:6" customFormat="1">
      <c r="B29" s="178" t="s">
        <v>4</v>
      </c>
      <c r="C29" s="171" t="s">
        <v>20</v>
      </c>
      <c r="D29" s="199"/>
      <c r="E29" s="295"/>
      <c r="F29" s="71"/>
    </row>
    <row r="30" spans="2:6" customFormat="1">
      <c r="B30" s="178" t="s">
        <v>6</v>
      </c>
      <c r="C30" s="171" t="s">
        <v>21</v>
      </c>
      <c r="D30" s="199"/>
      <c r="E30" s="295"/>
      <c r="F30" s="71"/>
    </row>
    <row r="31" spans="2:6" customFormat="1">
      <c r="B31" s="178" t="s">
        <v>8</v>
      </c>
      <c r="C31" s="171" t="s">
        <v>22</v>
      </c>
      <c r="D31" s="199"/>
      <c r="E31" s="295"/>
      <c r="F31" s="71"/>
    </row>
    <row r="32" spans="2:6" customFormat="1">
      <c r="B32" s="91" t="s">
        <v>23</v>
      </c>
      <c r="C32" s="11" t="s">
        <v>24</v>
      </c>
      <c r="D32" s="198">
        <v>21253.66</v>
      </c>
      <c r="E32" s="293"/>
      <c r="F32" s="71"/>
    </row>
    <row r="33" spans="2:6" customFormat="1">
      <c r="B33" s="178" t="s">
        <v>4</v>
      </c>
      <c r="C33" s="171" t="s">
        <v>25</v>
      </c>
      <c r="D33" s="199"/>
      <c r="E33" s="295"/>
      <c r="F33" s="71"/>
    </row>
    <row r="34" spans="2:6" customFormat="1">
      <c r="B34" s="178" t="s">
        <v>6</v>
      </c>
      <c r="C34" s="171" t="s">
        <v>26</v>
      </c>
      <c r="D34" s="199"/>
      <c r="E34" s="295"/>
      <c r="F34" s="71"/>
    </row>
    <row r="35" spans="2:6" customFormat="1">
      <c r="B35" s="178" t="s">
        <v>8</v>
      </c>
      <c r="C35" s="171" t="s">
        <v>27</v>
      </c>
      <c r="D35" s="199">
        <v>40.619999999999997</v>
      </c>
      <c r="E35" s="295"/>
      <c r="F35" s="71"/>
    </row>
    <row r="36" spans="2:6" customFormat="1">
      <c r="B36" s="178" t="s">
        <v>9</v>
      </c>
      <c r="C36" s="171" t="s">
        <v>28</v>
      </c>
      <c r="D36" s="199"/>
      <c r="E36" s="295"/>
      <c r="F36" s="71"/>
    </row>
    <row r="37" spans="2:6" customFormat="1" ht="25.5">
      <c r="B37" s="178" t="s">
        <v>29</v>
      </c>
      <c r="C37" s="171" t="s">
        <v>30</v>
      </c>
      <c r="D37" s="199">
        <v>243.44</v>
      </c>
      <c r="E37" s="295"/>
      <c r="F37" s="71"/>
    </row>
    <row r="38" spans="2:6" customFormat="1">
      <c r="B38" s="178" t="s">
        <v>31</v>
      </c>
      <c r="C38" s="171" t="s">
        <v>32</v>
      </c>
      <c r="D38" s="199"/>
      <c r="E38" s="295"/>
      <c r="F38" s="71"/>
    </row>
    <row r="39" spans="2:6" customFormat="1">
      <c r="B39" s="179" t="s">
        <v>33</v>
      </c>
      <c r="C39" s="180" t="s">
        <v>34</v>
      </c>
      <c r="D39" s="200">
        <v>20969.599999999999</v>
      </c>
      <c r="E39" s="297"/>
      <c r="F39" s="71"/>
    </row>
    <row r="40" spans="2:6" customFormat="1" ht="13.5" thickBot="1">
      <c r="B40" s="96" t="s">
        <v>35</v>
      </c>
      <c r="C40" s="97" t="s">
        <v>36</v>
      </c>
      <c r="D40" s="201">
        <v>-294.39</v>
      </c>
      <c r="E40" s="306"/>
    </row>
    <row r="41" spans="2:6" customFormat="1" ht="13.5" thickBot="1">
      <c r="B41" s="98" t="s">
        <v>37</v>
      </c>
      <c r="C41" s="99" t="s">
        <v>38</v>
      </c>
      <c r="D41" s="202" t="s">
        <v>123</v>
      </c>
      <c r="E41" s="269"/>
      <c r="F41" s="76"/>
    </row>
    <row r="42" spans="2:6" customFormat="1">
      <c r="B42" s="92"/>
      <c r="C42" s="92"/>
      <c r="D42" s="93"/>
      <c r="E42" s="93"/>
      <c r="F42" s="76"/>
    </row>
    <row r="43" spans="2:6" customFormat="1" ht="13.5">
      <c r="B43" s="354" t="s">
        <v>60</v>
      </c>
      <c r="C43" s="366"/>
      <c r="D43" s="366"/>
      <c r="E43" s="366"/>
    </row>
    <row r="44" spans="2:6" customFormat="1" ht="18" customHeight="1" thickBot="1">
      <c r="B44" s="352" t="s">
        <v>121</v>
      </c>
      <c r="C44" s="365"/>
      <c r="D44" s="365"/>
      <c r="E44" s="365"/>
    </row>
    <row r="45" spans="2:6" customFormat="1" ht="13.5" thickBot="1">
      <c r="B45" s="216"/>
      <c r="C45" s="29" t="s">
        <v>39</v>
      </c>
      <c r="D45" s="70" t="s">
        <v>265</v>
      </c>
      <c r="E45" s="261" t="s">
        <v>264</v>
      </c>
    </row>
    <row r="46" spans="2:6" customFormat="1">
      <c r="B46" s="13" t="s">
        <v>18</v>
      </c>
      <c r="C46" s="30" t="s">
        <v>112</v>
      </c>
      <c r="D46" s="100"/>
      <c r="E46" s="28"/>
    </row>
    <row r="47" spans="2:6" customFormat="1">
      <c r="B47" s="181" t="s">
        <v>4</v>
      </c>
      <c r="C47" s="182" t="s">
        <v>40</v>
      </c>
      <c r="D47" s="203">
        <v>199.22380000000001</v>
      </c>
      <c r="E47" s="148"/>
    </row>
    <row r="48" spans="2:6" customFormat="1">
      <c r="B48" s="183" t="s">
        <v>6</v>
      </c>
      <c r="C48" s="184" t="s">
        <v>41</v>
      </c>
      <c r="D48" s="203"/>
      <c r="E48" s="148"/>
    </row>
    <row r="49" spans="2:5" customFormat="1">
      <c r="B49" s="119" t="s">
        <v>23</v>
      </c>
      <c r="C49" s="123" t="s">
        <v>113</v>
      </c>
      <c r="D49" s="277"/>
      <c r="E49" s="148"/>
    </row>
    <row r="50" spans="2:5" customFormat="1">
      <c r="B50" s="181" t="s">
        <v>4</v>
      </c>
      <c r="C50" s="182" t="s">
        <v>40</v>
      </c>
      <c r="D50" s="203">
        <v>108.16</v>
      </c>
      <c r="E50" s="148"/>
    </row>
    <row r="51" spans="2:5" customFormat="1">
      <c r="B51" s="181" t="s">
        <v>6</v>
      </c>
      <c r="C51" s="182" t="s">
        <v>114</v>
      </c>
      <c r="D51" s="203">
        <v>105.31</v>
      </c>
      <c r="E51" s="262"/>
    </row>
    <row r="52" spans="2:5" customFormat="1">
      <c r="B52" s="181" t="s">
        <v>8</v>
      </c>
      <c r="C52" s="182" t="s">
        <v>115</v>
      </c>
      <c r="D52" s="203">
        <v>109.28</v>
      </c>
      <c r="E52" s="262"/>
    </row>
    <row r="53" spans="2:5" customFormat="1" ht="13.5" customHeight="1" thickBot="1">
      <c r="B53" s="185" t="s">
        <v>9</v>
      </c>
      <c r="C53" s="186" t="s">
        <v>41</v>
      </c>
      <c r="D53" s="205"/>
      <c r="E53" s="309"/>
    </row>
    <row r="54" spans="2:5" customFormat="1">
      <c r="B54" s="108"/>
      <c r="C54" s="109"/>
      <c r="D54" s="110"/>
      <c r="E54" s="110"/>
    </row>
    <row r="55" spans="2:5" customFormat="1" ht="13.5">
      <c r="B55" s="354" t="s">
        <v>62</v>
      </c>
      <c r="C55" s="355"/>
      <c r="D55" s="355"/>
      <c r="E55" s="355"/>
    </row>
    <row r="56" spans="2:5" customFormat="1" ht="17.25" customHeight="1" thickBot="1">
      <c r="B56" s="352" t="s">
        <v>116</v>
      </c>
      <c r="C56" s="356"/>
      <c r="D56" s="356"/>
      <c r="E56" s="356"/>
    </row>
    <row r="57" spans="2:5" customFormat="1" ht="23.25" thickBot="1">
      <c r="B57" s="347" t="s">
        <v>42</v>
      </c>
      <c r="C57" s="348"/>
      <c r="D57" s="18" t="s">
        <v>122</v>
      </c>
      <c r="E57" s="19" t="s">
        <v>117</v>
      </c>
    </row>
    <row r="58" spans="2:5" customFormat="1">
      <c r="B58" s="20" t="s">
        <v>18</v>
      </c>
      <c r="C58" s="125" t="s">
        <v>43</v>
      </c>
      <c r="D58" s="126">
        <f>D64</f>
        <v>0</v>
      </c>
      <c r="E58" s="31">
        <v>0</v>
      </c>
    </row>
    <row r="59" spans="2:5" customFormat="1" ht="25.5">
      <c r="B59" s="122" t="s">
        <v>4</v>
      </c>
      <c r="C59" s="22" t="s">
        <v>44</v>
      </c>
      <c r="D59" s="79">
        <v>0</v>
      </c>
      <c r="E59" s="80">
        <v>0</v>
      </c>
    </row>
    <row r="60" spans="2:5" customFormat="1" ht="25.5">
      <c r="B60" s="101" t="s">
        <v>6</v>
      </c>
      <c r="C60" s="15" t="s">
        <v>45</v>
      </c>
      <c r="D60" s="77">
        <v>0</v>
      </c>
      <c r="E60" s="78">
        <v>0</v>
      </c>
    </row>
    <row r="61" spans="2:5" customFormat="1" ht="12.7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 customFormat="1">
      <c r="B62" s="101" t="s">
        <v>9</v>
      </c>
      <c r="C62" s="15" t="s">
        <v>47</v>
      </c>
      <c r="D62" s="77">
        <v>0</v>
      </c>
      <c r="E62" s="78">
        <v>0</v>
      </c>
    </row>
    <row r="63" spans="2:5" customFormat="1">
      <c r="B63" s="101" t="s">
        <v>29</v>
      </c>
      <c r="C63" s="15" t="s">
        <v>48</v>
      </c>
      <c r="D63" s="77">
        <v>0</v>
      </c>
      <c r="E63" s="78">
        <v>0</v>
      </c>
    </row>
    <row r="64" spans="2:5" customFormat="1">
      <c r="B64" s="122" t="s">
        <v>31</v>
      </c>
      <c r="C64" s="22" t="s">
        <v>49</v>
      </c>
      <c r="D64" s="79">
        <f>E21</f>
        <v>0</v>
      </c>
      <c r="E64" s="80">
        <f>E58</f>
        <v>0</v>
      </c>
    </row>
    <row r="65" spans="2:5" customFormat="1">
      <c r="B65" s="122" t="s">
        <v>33</v>
      </c>
      <c r="C65" s="22" t="s">
        <v>118</v>
      </c>
      <c r="D65" s="79">
        <v>0</v>
      </c>
      <c r="E65" s="80">
        <v>0</v>
      </c>
    </row>
    <row r="66" spans="2:5" customFormat="1">
      <c r="B66" s="122" t="s">
        <v>50</v>
      </c>
      <c r="C66" s="22" t="s">
        <v>51</v>
      </c>
      <c r="D66" s="79">
        <v>0</v>
      </c>
      <c r="E66" s="80">
        <v>0</v>
      </c>
    </row>
    <row r="67" spans="2:5" customFormat="1">
      <c r="B67" s="101" t="s">
        <v>52</v>
      </c>
      <c r="C67" s="15" t="s">
        <v>53</v>
      </c>
      <c r="D67" s="77">
        <v>0</v>
      </c>
      <c r="E67" s="78">
        <v>0</v>
      </c>
    </row>
    <row r="68" spans="2:5" customFormat="1">
      <c r="B68" s="101" t="s">
        <v>54</v>
      </c>
      <c r="C68" s="15" t="s">
        <v>55</v>
      </c>
      <c r="D68" s="77">
        <v>0</v>
      </c>
      <c r="E68" s="78">
        <v>0</v>
      </c>
    </row>
    <row r="69" spans="2:5" customFormat="1">
      <c r="B69" s="101" t="s">
        <v>56</v>
      </c>
      <c r="C69" s="15" t="s">
        <v>57</v>
      </c>
      <c r="D69" s="239">
        <v>0</v>
      </c>
      <c r="E69" s="78">
        <v>0</v>
      </c>
    </row>
    <row r="70" spans="2:5" customFormat="1">
      <c r="B70" s="128" t="s">
        <v>58</v>
      </c>
      <c r="C70" s="112" t="s">
        <v>59</v>
      </c>
      <c r="D70" s="113">
        <v>0</v>
      </c>
      <c r="E70" s="114">
        <v>0</v>
      </c>
    </row>
    <row r="71" spans="2:5" customFormat="1">
      <c r="B71" s="129" t="s">
        <v>23</v>
      </c>
      <c r="C71" s="120" t="s">
        <v>61</v>
      </c>
      <c r="D71" s="121">
        <v>0</v>
      </c>
      <c r="E71" s="66">
        <v>0</v>
      </c>
    </row>
    <row r="72" spans="2:5" customFormat="1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 customFormat="1">
      <c r="B73" s="131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29" t="s">
        <v>64</v>
      </c>
      <c r="C74" s="120" t="s">
        <v>66</v>
      </c>
      <c r="D74" s="121">
        <f>D58</f>
        <v>0</v>
      </c>
      <c r="E74" s="66">
        <f>E58+E72-E73</f>
        <v>0</v>
      </c>
    </row>
    <row r="75" spans="2:5" customFormat="1">
      <c r="B75" s="101" t="s">
        <v>4</v>
      </c>
      <c r="C75" s="15" t="s">
        <v>67</v>
      </c>
      <c r="D75" s="77">
        <f>D74</f>
        <v>0</v>
      </c>
      <c r="E75" s="78">
        <f>E74</f>
        <v>0</v>
      </c>
    </row>
    <row r="76" spans="2:5" customFormat="1">
      <c r="B76" s="101" t="s">
        <v>6</v>
      </c>
      <c r="C76" s="15" t="s">
        <v>119</v>
      </c>
      <c r="D76" s="77">
        <v>0</v>
      </c>
      <c r="E76" s="78">
        <v>0</v>
      </c>
    </row>
    <row r="77" spans="2:5" customFormat="1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F81"/>
  <sheetViews>
    <sheetView zoomScale="80" zoomScaleNormal="80" workbookViewId="0">
      <selection activeCell="G1" sqref="G1:N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9" t="s">
        <v>0</v>
      </c>
      <c r="C2" s="349"/>
      <c r="D2" s="349"/>
      <c r="E2" s="349"/>
    </row>
    <row r="3" spans="2:5" ht="15.75">
      <c r="B3" s="349" t="s">
        <v>272</v>
      </c>
      <c r="C3" s="349"/>
      <c r="D3" s="349"/>
      <c r="E3" s="349"/>
    </row>
    <row r="4" spans="2:5" ht="15">
      <c r="B4" s="140"/>
      <c r="C4" s="140"/>
      <c r="D4" s="140"/>
      <c r="E4" s="140"/>
    </row>
    <row r="5" spans="2:5" ht="21" customHeight="1">
      <c r="B5" s="350" t="s">
        <v>1</v>
      </c>
      <c r="C5" s="350"/>
      <c r="D5" s="350"/>
      <c r="E5" s="350"/>
    </row>
    <row r="6" spans="2:5" ht="14.25">
      <c r="B6" s="351" t="s">
        <v>199</v>
      </c>
      <c r="C6" s="351"/>
      <c r="D6" s="351"/>
      <c r="E6" s="351"/>
    </row>
    <row r="7" spans="2:5" ht="14.25">
      <c r="B7" s="138"/>
      <c r="C7" s="138"/>
      <c r="D7" s="138"/>
      <c r="E7" s="138"/>
    </row>
    <row r="8" spans="2:5" ht="13.5">
      <c r="B8" s="353" t="s">
        <v>18</v>
      </c>
      <c r="C8" s="355"/>
      <c r="D8" s="355"/>
      <c r="E8" s="355"/>
    </row>
    <row r="9" spans="2:5" ht="16.5" thickBot="1">
      <c r="B9" s="352" t="s">
        <v>103</v>
      </c>
      <c r="C9" s="352"/>
      <c r="D9" s="352"/>
      <c r="E9" s="352"/>
    </row>
    <row r="10" spans="2:5" ht="13.5" thickBot="1">
      <c r="B10" s="139"/>
      <c r="C10" s="75" t="s">
        <v>2</v>
      </c>
      <c r="D10" s="70" t="s">
        <v>250</v>
      </c>
      <c r="E10" s="261" t="s">
        <v>264</v>
      </c>
    </row>
    <row r="11" spans="2:5">
      <c r="B11" s="89" t="s">
        <v>3</v>
      </c>
      <c r="C11" s="127" t="s">
        <v>109</v>
      </c>
      <c r="D11" s="228">
        <v>64061.72</v>
      </c>
      <c r="E11" s="229">
        <f>SUM(E12:E14)</f>
        <v>55451.26</v>
      </c>
    </row>
    <row r="12" spans="2:5">
      <c r="B12" s="170" t="s">
        <v>4</v>
      </c>
      <c r="C12" s="171" t="s">
        <v>5</v>
      </c>
      <c r="D12" s="245">
        <v>64061.72</v>
      </c>
      <c r="E12" s="251">
        <v>55451.26</v>
      </c>
    </row>
    <row r="13" spans="2:5">
      <c r="B13" s="170" t="s">
        <v>6</v>
      </c>
      <c r="C13" s="172" t="s">
        <v>7</v>
      </c>
      <c r="D13" s="241"/>
      <c r="E13" s="252"/>
    </row>
    <row r="14" spans="2:5">
      <c r="B14" s="170" t="s">
        <v>8</v>
      </c>
      <c r="C14" s="172" t="s">
        <v>10</v>
      </c>
      <c r="D14" s="241"/>
      <c r="E14" s="252"/>
    </row>
    <row r="15" spans="2:5">
      <c r="B15" s="170" t="s">
        <v>106</v>
      </c>
      <c r="C15" s="172" t="s">
        <v>11</v>
      </c>
      <c r="D15" s="241"/>
      <c r="E15" s="252"/>
    </row>
    <row r="16" spans="2:5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64061.72</v>
      </c>
      <c r="E21" s="147">
        <f>E11-E17</f>
        <v>55451.26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53480.71</v>
      </c>
      <c r="E26" s="219">
        <f>D21</f>
        <v>64061.72</v>
      </c>
    </row>
    <row r="27" spans="2:6">
      <c r="B27" s="9" t="s">
        <v>17</v>
      </c>
      <c r="C27" s="10" t="s">
        <v>111</v>
      </c>
      <c r="D27" s="198">
        <v>-306.10999999999967</v>
      </c>
      <c r="E27" s="292">
        <f>E28-E32</f>
        <v>-903.27999999999975</v>
      </c>
      <c r="F27" s="71"/>
    </row>
    <row r="28" spans="2:6">
      <c r="B28" s="9" t="s">
        <v>18</v>
      </c>
      <c r="C28" s="10" t="s">
        <v>19</v>
      </c>
      <c r="D28" s="198">
        <v>5946.9</v>
      </c>
      <c r="E28" s="293">
        <v>5698.83</v>
      </c>
      <c r="F28" s="71"/>
    </row>
    <row r="29" spans="2:6">
      <c r="B29" s="178" t="s">
        <v>4</v>
      </c>
      <c r="C29" s="171" t="s">
        <v>20</v>
      </c>
      <c r="D29" s="199">
        <v>5448.44</v>
      </c>
      <c r="E29" s="295">
        <v>5698.83</v>
      </c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>
        <v>498.46</v>
      </c>
      <c r="E31" s="295"/>
      <c r="F31" s="71"/>
    </row>
    <row r="32" spans="2:6">
      <c r="B32" s="91" t="s">
        <v>23</v>
      </c>
      <c r="C32" s="11" t="s">
        <v>24</v>
      </c>
      <c r="D32" s="198">
        <v>6253.0099999999993</v>
      </c>
      <c r="E32" s="293">
        <f>SUM(E33:E39)</f>
        <v>6602.11</v>
      </c>
      <c r="F32" s="71"/>
    </row>
    <row r="33" spans="2:6">
      <c r="B33" s="178" t="s">
        <v>4</v>
      </c>
      <c r="C33" s="171" t="s">
        <v>25</v>
      </c>
      <c r="D33" s="199">
        <v>171.3</v>
      </c>
      <c r="E33" s="295">
        <f>1362.98+8.81</f>
        <v>1371.79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169.47</v>
      </c>
      <c r="E35" s="295">
        <v>176.44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421.51</v>
      </c>
      <c r="E37" s="295">
        <v>370.15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>
        <v>5490.73</v>
      </c>
      <c r="E39" s="297">
        <v>4683.7299999999996</v>
      </c>
      <c r="F39" s="71"/>
    </row>
    <row r="40" spans="2:6" ht="13.5" thickBot="1">
      <c r="B40" s="96" t="s">
        <v>35</v>
      </c>
      <c r="C40" s="97" t="s">
        <v>36</v>
      </c>
      <c r="D40" s="201">
        <v>5565.69</v>
      </c>
      <c r="E40" s="306">
        <v>-7707.18</v>
      </c>
    </row>
    <row r="41" spans="2:6" ht="13.5" thickBot="1">
      <c r="B41" s="98" t="s">
        <v>37</v>
      </c>
      <c r="C41" s="99" t="s">
        <v>38</v>
      </c>
      <c r="D41" s="202">
        <v>58740.29</v>
      </c>
      <c r="E41" s="147">
        <f>E26+E27+E40</f>
        <v>55451.26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8330.3289999999997</v>
      </c>
      <c r="E47" s="148">
        <v>8575.866</v>
      </c>
    </row>
    <row r="48" spans="2:6">
      <c r="B48" s="183" t="s">
        <v>6</v>
      </c>
      <c r="C48" s="184" t="s">
        <v>41</v>
      </c>
      <c r="D48" s="203">
        <v>8261.6440000000002</v>
      </c>
      <c r="E48" s="148">
        <v>8557.2929999999997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6.42</v>
      </c>
      <c r="E50" s="148">
        <v>7.47</v>
      </c>
    </row>
    <row r="51" spans="2:5">
      <c r="B51" s="181" t="s">
        <v>6</v>
      </c>
      <c r="C51" s="182" t="s">
        <v>114</v>
      </c>
      <c r="D51" s="203">
        <v>6.38</v>
      </c>
      <c r="E51" s="74">
        <v>5.25</v>
      </c>
    </row>
    <row r="52" spans="2:5">
      <c r="B52" s="181" t="s">
        <v>8</v>
      </c>
      <c r="C52" s="182" t="s">
        <v>115</v>
      </c>
      <c r="D52" s="203">
        <v>7.29</v>
      </c>
      <c r="E52" s="74">
        <v>7.62</v>
      </c>
    </row>
    <row r="53" spans="2:5" ht="13.5" customHeight="1" thickBot="1">
      <c r="B53" s="185" t="s">
        <v>9</v>
      </c>
      <c r="C53" s="186" t="s">
        <v>41</v>
      </c>
      <c r="D53" s="205">
        <v>7.11</v>
      </c>
      <c r="E53" s="309">
        <v>6.48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6.5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55451.26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55451.26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55451.26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55451.26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G81"/>
  <sheetViews>
    <sheetView zoomScale="80" zoomScaleNormal="80" workbookViewId="0">
      <selection activeCell="E41" sqref="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200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27799.95</v>
      </c>
      <c r="E11" s="229">
        <f>SUM(E12:E14)</f>
        <v>25345.58</v>
      </c>
    </row>
    <row r="12" spans="2:7">
      <c r="B12" s="170" t="s">
        <v>4</v>
      </c>
      <c r="C12" s="171" t="s">
        <v>5</v>
      </c>
      <c r="D12" s="245">
        <v>27799.95</v>
      </c>
      <c r="E12" s="251">
        <v>25345.58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27799.95</v>
      </c>
      <c r="E21" s="147">
        <f>E11-E17</f>
        <v>25345.58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32188.18</v>
      </c>
      <c r="E26" s="219">
        <f>D21</f>
        <v>27799.95</v>
      </c>
    </row>
    <row r="27" spans="2:6">
      <c r="B27" s="9" t="s">
        <v>17</v>
      </c>
      <c r="C27" s="10" t="s">
        <v>111</v>
      </c>
      <c r="D27" s="198">
        <v>-6445.14</v>
      </c>
      <c r="E27" s="292">
        <v>-305.36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6445.14</v>
      </c>
      <c r="E32" s="293">
        <v>305.36</v>
      </c>
      <c r="F32" s="71"/>
    </row>
    <row r="33" spans="2:6">
      <c r="B33" s="178" t="s">
        <v>4</v>
      </c>
      <c r="C33" s="171" t="s">
        <v>25</v>
      </c>
      <c r="D33" s="199">
        <v>6100.86</v>
      </c>
      <c r="E33" s="295"/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120.35</v>
      </c>
      <c r="E35" s="295">
        <v>119.35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223.93</v>
      </c>
      <c r="E37" s="295">
        <v>186.01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2357.89</v>
      </c>
      <c r="E40" s="306">
        <v>-2149.0100000000002</v>
      </c>
    </row>
    <row r="41" spans="2:6" ht="13.5" thickBot="1">
      <c r="B41" s="98" t="s">
        <v>37</v>
      </c>
      <c r="C41" s="99" t="s">
        <v>38</v>
      </c>
      <c r="D41" s="202">
        <v>28100.93</v>
      </c>
      <c r="E41" s="147">
        <f>E26+E27+E40</f>
        <v>25345.58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3241.509</v>
      </c>
      <c r="E47" s="148">
        <v>2504.5</v>
      </c>
    </row>
    <row r="48" spans="2:6">
      <c r="B48" s="183" t="s">
        <v>6</v>
      </c>
      <c r="C48" s="184" t="s">
        <v>41</v>
      </c>
      <c r="D48" s="203">
        <v>2628.712</v>
      </c>
      <c r="E48" s="148">
        <v>2475.154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9.93</v>
      </c>
      <c r="E50" s="148">
        <v>11.1</v>
      </c>
    </row>
    <row r="51" spans="2:5">
      <c r="B51" s="181" t="s">
        <v>6</v>
      </c>
      <c r="C51" s="182" t="s">
        <v>114</v>
      </c>
      <c r="D51" s="203">
        <v>9.93</v>
      </c>
      <c r="E51" s="148">
        <v>8.77</v>
      </c>
    </row>
    <row r="52" spans="2:5">
      <c r="B52" s="181" t="s">
        <v>8</v>
      </c>
      <c r="C52" s="182" t="s">
        <v>115</v>
      </c>
      <c r="D52" s="203">
        <v>10.73</v>
      </c>
      <c r="E52" s="74">
        <v>11.26</v>
      </c>
    </row>
    <row r="53" spans="2:5" ht="12.75" customHeight="1" thickBot="1">
      <c r="B53" s="185" t="s">
        <v>9</v>
      </c>
      <c r="C53" s="186" t="s">
        <v>41</v>
      </c>
      <c r="D53" s="205">
        <v>10.69</v>
      </c>
      <c r="E53" s="309">
        <v>10.24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4.25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25345.58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 ht="13.5" customHeight="1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25345.58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25345.58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25345.58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G81"/>
  <sheetViews>
    <sheetView zoomScale="80" zoomScaleNormal="80" workbookViewId="0">
      <selection activeCell="G10" sqref="G1:K104857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83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9" t="s">
        <v>0</v>
      </c>
      <c r="C2" s="349"/>
      <c r="D2" s="349"/>
      <c r="E2" s="349"/>
      <c r="G2" s="71"/>
    </row>
    <row r="3" spans="2:7" ht="15.75">
      <c r="B3" s="349" t="s">
        <v>272</v>
      </c>
      <c r="C3" s="349"/>
      <c r="D3" s="349"/>
      <c r="E3" s="349"/>
    </row>
    <row r="4" spans="2:7" ht="15">
      <c r="B4" s="140"/>
      <c r="C4" s="140"/>
      <c r="D4" s="140"/>
      <c r="E4" s="140"/>
    </row>
    <row r="5" spans="2:7" ht="21" customHeight="1">
      <c r="B5" s="350" t="s">
        <v>1</v>
      </c>
      <c r="C5" s="350"/>
      <c r="D5" s="350"/>
      <c r="E5" s="350"/>
    </row>
    <row r="6" spans="2:7" ht="14.25">
      <c r="B6" s="351" t="s">
        <v>201</v>
      </c>
      <c r="C6" s="351"/>
      <c r="D6" s="351"/>
      <c r="E6" s="351"/>
    </row>
    <row r="7" spans="2:7" ht="14.25">
      <c r="B7" s="138"/>
      <c r="C7" s="138"/>
      <c r="D7" s="138"/>
      <c r="E7" s="138"/>
    </row>
    <row r="8" spans="2:7" ht="13.5">
      <c r="B8" s="353" t="s">
        <v>18</v>
      </c>
      <c r="C8" s="355"/>
      <c r="D8" s="355"/>
      <c r="E8" s="355"/>
    </row>
    <row r="9" spans="2:7" ht="16.5" thickBot="1">
      <c r="B9" s="352" t="s">
        <v>103</v>
      </c>
      <c r="C9" s="352"/>
      <c r="D9" s="352"/>
      <c r="E9" s="352"/>
    </row>
    <row r="10" spans="2:7" ht="13.5" thickBot="1">
      <c r="B10" s="139"/>
      <c r="C10" s="75" t="s">
        <v>2</v>
      </c>
      <c r="D10" s="70" t="s">
        <v>250</v>
      </c>
      <c r="E10" s="261" t="s">
        <v>264</v>
      </c>
    </row>
    <row r="11" spans="2:7">
      <c r="B11" s="89" t="s">
        <v>3</v>
      </c>
      <c r="C11" s="127" t="s">
        <v>109</v>
      </c>
      <c r="D11" s="228">
        <v>2193806.56</v>
      </c>
      <c r="E11" s="229">
        <f>SUM(E12:E14)</f>
        <v>2063824.27</v>
      </c>
    </row>
    <row r="12" spans="2:7">
      <c r="B12" s="170" t="s">
        <v>4</v>
      </c>
      <c r="C12" s="171" t="s">
        <v>5</v>
      </c>
      <c r="D12" s="245">
        <v>2193806.56</v>
      </c>
      <c r="E12" s="251">
        <v>2063824.27</v>
      </c>
    </row>
    <row r="13" spans="2:7">
      <c r="B13" s="170" t="s">
        <v>6</v>
      </c>
      <c r="C13" s="172" t="s">
        <v>7</v>
      </c>
      <c r="D13" s="241"/>
      <c r="E13" s="252"/>
    </row>
    <row r="14" spans="2:7">
      <c r="B14" s="170" t="s">
        <v>8</v>
      </c>
      <c r="C14" s="172" t="s">
        <v>10</v>
      </c>
      <c r="D14" s="241"/>
      <c r="E14" s="252"/>
    </row>
    <row r="15" spans="2:7">
      <c r="B15" s="170" t="s">
        <v>106</v>
      </c>
      <c r="C15" s="172" t="s">
        <v>11</v>
      </c>
      <c r="D15" s="241"/>
      <c r="E15" s="252"/>
    </row>
    <row r="16" spans="2:7">
      <c r="B16" s="173" t="s">
        <v>107</v>
      </c>
      <c r="C16" s="174" t="s">
        <v>12</v>
      </c>
      <c r="D16" s="243"/>
      <c r="E16" s="253"/>
    </row>
    <row r="17" spans="2:6">
      <c r="B17" s="9" t="s">
        <v>13</v>
      </c>
      <c r="C17" s="11" t="s">
        <v>65</v>
      </c>
      <c r="D17" s="244"/>
      <c r="E17" s="254"/>
    </row>
    <row r="18" spans="2:6">
      <c r="B18" s="170" t="s">
        <v>4</v>
      </c>
      <c r="C18" s="171" t="s">
        <v>11</v>
      </c>
      <c r="D18" s="243"/>
      <c r="E18" s="253"/>
    </row>
    <row r="19" spans="2:6" ht="15" customHeight="1">
      <c r="B19" s="170" t="s">
        <v>6</v>
      </c>
      <c r="C19" s="172" t="s">
        <v>108</v>
      </c>
      <c r="D19" s="241"/>
      <c r="E19" s="252"/>
    </row>
    <row r="20" spans="2:6" ht="13.5" thickBot="1">
      <c r="B20" s="175" t="s">
        <v>8</v>
      </c>
      <c r="C20" s="176" t="s">
        <v>14</v>
      </c>
      <c r="D20" s="230"/>
      <c r="E20" s="231"/>
    </row>
    <row r="21" spans="2:6" ht="13.5" thickBot="1">
      <c r="B21" s="359" t="s">
        <v>110</v>
      </c>
      <c r="C21" s="360"/>
      <c r="D21" s="232">
        <v>2193806.56</v>
      </c>
      <c r="E21" s="147">
        <f>E11-E17</f>
        <v>2063824.27</v>
      </c>
      <c r="F21" s="76"/>
    </row>
    <row r="22" spans="2:6">
      <c r="B22" s="3"/>
      <c r="C22" s="7"/>
      <c r="D22" s="8"/>
      <c r="E22" s="8"/>
    </row>
    <row r="23" spans="2:6" ht="13.5">
      <c r="B23" s="353" t="s">
        <v>104</v>
      </c>
      <c r="C23" s="363"/>
      <c r="D23" s="363"/>
      <c r="E23" s="363"/>
    </row>
    <row r="24" spans="2:6" ht="15.75" customHeight="1" thickBot="1">
      <c r="B24" s="352" t="s">
        <v>105</v>
      </c>
      <c r="C24" s="364"/>
      <c r="D24" s="364"/>
      <c r="E24" s="364"/>
    </row>
    <row r="25" spans="2:6" ht="13.5" thickBot="1">
      <c r="B25" s="210"/>
      <c r="C25" s="177" t="s">
        <v>2</v>
      </c>
      <c r="D25" s="70" t="s">
        <v>265</v>
      </c>
      <c r="E25" s="261" t="s">
        <v>264</v>
      </c>
    </row>
    <row r="26" spans="2:6">
      <c r="B26" s="94" t="s">
        <v>15</v>
      </c>
      <c r="C26" s="95" t="s">
        <v>16</v>
      </c>
      <c r="D26" s="197">
        <v>2341979.71</v>
      </c>
      <c r="E26" s="219">
        <f>D21</f>
        <v>2193806.56</v>
      </c>
    </row>
    <row r="27" spans="2:6">
      <c r="B27" s="9" t="s">
        <v>17</v>
      </c>
      <c r="C27" s="10" t="s">
        <v>111</v>
      </c>
      <c r="D27" s="198">
        <v>-71350.66</v>
      </c>
      <c r="E27" s="292">
        <v>-74683.820000000007</v>
      </c>
      <c r="F27" s="71"/>
    </row>
    <row r="28" spans="2:6">
      <c r="B28" s="9" t="s">
        <v>18</v>
      </c>
      <c r="C28" s="10" t="s">
        <v>19</v>
      </c>
      <c r="D28" s="198">
        <v>0</v>
      </c>
      <c r="E28" s="293">
        <v>0</v>
      </c>
      <c r="F28" s="71"/>
    </row>
    <row r="29" spans="2:6">
      <c r="B29" s="178" t="s">
        <v>4</v>
      </c>
      <c r="C29" s="171" t="s">
        <v>20</v>
      </c>
      <c r="D29" s="199"/>
      <c r="E29" s="295"/>
      <c r="F29" s="71"/>
    </row>
    <row r="30" spans="2:6">
      <c r="B30" s="178" t="s">
        <v>6</v>
      </c>
      <c r="C30" s="171" t="s">
        <v>21</v>
      </c>
      <c r="D30" s="199"/>
      <c r="E30" s="295"/>
      <c r="F30" s="71"/>
    </row>
    <row r="31" spans="2:6">
      <c r="B31" s="178" t="s">
        <v>8</v>
      </c>
      <c r="C31" s="171" t="s">
        <v>22</v>
      </c>
      <c r="D31" s="199"/>
      <c r="E31" s="295"/>
      <c r="F31" s="71"/>
    </row>
    <row r="32" spans="2:6">
      <c r="B32" s="91" t="s">
        <v>23</v>
      </c>
      <c r="C32" s="11" t="s">
        <v>24</v>
      </c>
      <c r="D32" s="198">
        <v>71350.66</v>
      </c>
      <c r="E32" s="293">
        <f>SUM(E33:E39)</f>
        <v>74683.819999999992</v>
      </c>
      <c r="F32" s="71"/>
    </row>
    <row r="33" spans="2:6">
      <c r="B33" s="178" t="s">
        <v>4</v>
      </c>
      <c r="C33" s="171" t="s">
        <v>25</v>
      </c>
      <c r="D33" s="199">
        <v>49744.22</v>
      </c>
      <c r="E33" s="295">
        <v>55844.6</v>
      </c>
      <c r="F33" s="71"/>
    </row>
    <row r="34" spans="2:6">
      <c r="B34" s="178" t="s">
        <v>6</v>
      </c>
      <c r="C34" s="171" t="s">
        <v>26</v>
      </c>
      <c r="D34" s="199"/>
      <c r="E34" s="295"/>
      <c r="F34" s="71"/>
    </row>
    <row r="35" spans="2:6">
      <c r="B35" s="178" t="s">
        <v>8</v>
      </c>
      <c r="C35" s="171" t="s">
        <v>27</v>
      </c>
      <c r="D35" s="199">
        <v>2455.66</v>
      </c>
      <c r="E35" s="295">
        <v>1214.02</v>
      </c>
      <c r="F35" s="71"/>
    </row>
    <row r="36" spans="2:6">
      <c r="B36" s="178" t="s">
        <v>9</v>
      </c>
      <c r="C36" s="171" t="s">
        <v>28</v>
      </c>
      <c r="D36" s="199"/>
      <c r="E36" s="295"/>
      <c r="F36" s="71"/>
    </row>
    <row r="37" spans="2:6" ht="25.5">
      <c r="B37" s="178" t="s">
        <v>29</v>
      </c>
      <c r="C37" s="171" t="s">
        <v>30</v>
      </c>
      <c r="D37" s="199">
        <v>19150.78</v>
      </c>
      <c r="E37" s="295">
        <v>17625.2</v>
      </c>
      <c r="F37" s="71"/>
    </row>
    <row r="38" spans="2:6">
      <c r="B38" s="178" t="s">
        <v>31</v>
      </c>
      <c r="C38" s="171" t="s">
        <v>32</v>
      </c>
      <c r="D38" s="199"/>
      <c r="E38" s="295"/>
      <c r="F38" s="71"/>
    </row>
    <row r="39" spans="2:6">
      <c r="B39" s="179" t="s">
        <v>33</v>
      </c>
      <c r="C39" s="180" t="s">
        <v>34</v>
      </c>
      <c r="D39" s="200"/>
      <c r="E39" s="297"/>
      <c r="F39" s="71"/>
    </row>
    <row r="40" spans="2:6" ht="13.5" thickBot="1">
      <c r="B40" s="96" t="s">
        <v>35</v>
      </c>
      <c r="C40" s="97" t="s">
        <v>36</v>
      </c>
      <c r="D40" s="201">
        <v>145168.32000000001</v>
      </c>
      <c r="E40" s="306">
        <v>-55298.47</v>
      </c>
    </row>
    <row r="41" spans="2:6" ht="13.5" thickBot="1">
      <c r="B41" s="98" t="s">
        <v>37</v>
      </c>
      <c r="C41" s="99" t="s">
        <v>38</v>
      </c>
      <c r="D41" s="202">
        <v>2415797.3699999996</v>
      </c>
      <c r="E41" s="147">
        <f>E26+E27+E40</f>
        <v>2063824.2700000003</v>
      </c>
      <c r="F41" s="76"/>
    </row>
    <row r="42" spans="2:6">
      <c r="B42" s="92"/>
      <c r="C42" s="92"/>
      <c r="D42" s="93"/>
      <c r="E42" s="93"/>
      <c r="F42" s="76"/>
    </row>
    <row r="43" spans="2:6" ht="13.5">
      <c r="B43" s="354" t="s">
        <v>60</v>
      </c>
      <c r="C43" s="366"/>
      <c r="D43" s="366"/>
      <c r="E43" s="366"/>
    </row>
    <row r="44" spans="2:6" ht="18" customHeight="1" thickBot="1">
      <c r="B44" s="352" t="s">
        <v>121</v>
      </c>
      <c r="C44" s="365"/>
      <c r="D44" s="365"/>
      <c r="E44" s="365"/>
    </row>
    <row r="45" spans="2:6" ht="13.5" thickBot="1">
      <c r="B45" s="210"/>
      <c r="C45" s="29" t="s">
        <v>39</v>
      </c>
      <c r="D45" s="70" t="s">
        <v>265</v>
      </c>
      <c r="E45" s="261" t="s">
        <v>264</v>
      </c>
    </row>
    <row r="46" spans="2:6">
      <c r="B46" s="13" t="s">
        <v>18</v>
      </c>
      <c r="C46" s="30" t="s">
        <v>112</v>
      </c>
      <c r="D46" s="100"/>
      <c r="E46" s="28"/>
    </row>
    <row r="47" spans="2:6">
      <c r="B47" s="181" t="s">
        <v>4</v>
      </c>
      <c r="C47" s="182" t="s">
        <v>40</v>
      </c>
      <c r="D47" s="203">
        <v>133067.02900000001</v>
      </c>
      <c r="E47" s="148">
        <v>115039.673</v>
      </c>
    </row>
    <row r="48" spans="2:6">
      <c r="B48" s="183" t="s">
        <v>6</v>
      </c>
      <c r="C48" s="184" t="s">
        <v>41</v>
      </c>
      <c r="D48" s="203">
        <v>129187.02499999999</v>
      </c>
      <c r="E48" s="148">
        <v>110958.29399999999</v>
      </c>
    </row>
    <row r="49" spans="2:5">
      <c r="B49" s="119" t="s">
        <v>23</v>
      </c>
      <c r="C49" s="123" t="s">
        <v>113</v>
      </c>
      <c r="D49" s="277"/>
      <c r="E49" s="148"/>
    </row>
    <row r="50" spans="2:5">
      <c r="B50" s="181" t="s">
        <v>4</v>
      </c>
      <c r="C50" s="182" t="s">
        <v>40</v>
      </c>
      <c r="D50" s="203">
        <v>17.600000000000001</v>
      </c>
      <c r="E50" s="148">
        <v>19.07</v>
      </c>
    </row>
    <row r="51" spans="2:5">
      <c r="B51" s="181" t="s">
        <v>6</v>
      </c>
      <c r="C51" s="182" t="s">
        <v>114</v>
      </c>
      <c r="D51" s="203">
        <v>17.580000000000002</v>
      </c>
      <c r="E51" s="148">
        <v>16.41</v>
      </c>
    </row>
    <row r="52" spans="2:5">
      <c r="B52" s="181" t="s">
        <v>8</v>
      </c>
      <c r="C52" s="182" t="s">
        <v>115</v>
      </c>
      <c r="D52" s="203">
        <v>18.7</v>
      </c>
      <c r="E52" s="74">
        <v>19.38</v>
      </c>
    </row>
    <row r="53" spans="2:5" ht="12.75" customHeight="1" thickBot="1">
      <c r="B53" s="185" t="s">
        <v>9</v>
      </c>
      <c r="C53" s="186" t="s">
        <v>41</v>
      </c>
      <c r="D53" s="205">
        <v>18.7</v>
      </c>
      <c r="E53" s="309">
        <v>18.600000000000001</v>
      </c>
    </row>
    <row r="54" spans="2:5">
      <c r="B54" s="108"/>
      <c r="C54" s="109"/>
      <c r="D54" s="110"/>
      <c r="E54" s="110"/>
    </row>
    <row r="55" spans="2:5" ht="13.5">
      <c r="B55" s="354" t="s">
        <v>62</v>
      </c>
      <c r="C55" s="355"/>
      <c r="D55" s="355"/>
      <c r="E55" s="355"/>
    </row>
    <row r="56" spans="2:5" ht="18" customHeight="1" thickBot="1">
      <c r="B56" s="352" t="s">
        <v>116</v>
      </c>
      <c r="C56" s="356"/>
      <c r="D56" s="356"/>
      <c r="E56" s="356"/>
    </row>
    <row r="57" spans="2:5" ht="23.25" thickBot="1">
      <c r="B57" s="347" t="s">
        <v>42</v>
      </c>
      <c r="C57" s="348"/>
      <c r="D57" s="18" t="s">
        <v>122</v>
      </c>
      <c r="E57" s="19" t="s">
        <v>117</v>
      </c>
    </row>
    <row r="58" spans="2:5">
      <c r="B58" s="20" t="s">
        <v>18</v>
      </c>
      <c r="C58" s="125" t="s">
        <v>43</v>
      </c>
      <c r="D58" s="126">
        <f>D64</f>
        <v>2063824.27</v>
      </c>
      <c r="E58" s="31">
        <f>D58/E21</f>
        <v>1</v>
      </c>
    </row>
    <row r="59" spans="2:5" ht="25.5">
      <c r="B59" s="122" t="s">
        <v>4</v>
      </c>
      <c r="C59" s="22" t="s">
        <v>44</v>
      </c>
      <c r="D59" s="79">
        <v>0</v>
      </c>
      <c r="E59" s="80">
        <v>0</v>
      </c>
    </row>
    <row r="60" spans="2:5" ht="25.5">
      <c r="B60" s="101" t="s">
        <v>6</v>
      </c>
      <c r="C60" s="15" t="s">
        <v>45</v>
      </c>
      <c r="D60" s="77">
        <v>0</v>
      </c>
      <c r="E60" s="78">
        <v>0</v>
      </c>
    </row>
    <row r="61" spans="2:5">
      <c r="B61" s="101" t="s">
        <v>8</v>
      </c>
      <c r="C61" s="15" t="s">
        <v>46</v>
      </c>
      <c r="D61" s="77">
        <v>0</v>
      </c>
      <c r="E61" s="78">
        <v>0</v>
      </c>
    </row>
    <row r="62" spans="2:5">
      <c r="B62" s="101" t="s">
        <v>9</v>
      </c>
      <c r="C62" s="15" t="s">
        <v>47</v>
      </c>
      <c r="D62" s="77">
        <v>0</v>
      </c>
      <c r="E62" s="78">
        <v>0</v>
      </c>
    </row>
    <row r="63" spans="2:5">
      <c r="B63" s="101" t="s">
        <v>29</v>
      </c>
      <c r="C63" s="15" t="s">
        <v>48</v>
      </c>
      <c r="D63" s="77">
        <v>0</v>
      </c>
      <c r="E63" s="78">
        <v>0</v>
      </c>
    </row>
    <row r="64" spans="2:5">
      <c r="B64" s="122" t="s">
        <v>31</v>
      </c>
      <c r="C64" s="22" t="s">
        <v>49</v>
      </c>
      <c r="D64" s="79">
        <f>E21</f>
        <v>2063824.27</v>
      </c>
      <c r="E64" s="80">
        <f>E58</f>
        <v>1</v>
      </c>
    </row>
    <row r="65" spans="2:5">
      <c r="B65" s="122" t="s">
        <v>33</v>
      </c>
      <c r="C65" s="22" t="s">
        <v>118</v>
      </c>
      <c r="D65" s="79">
        <v>0</v>
      </c>
      <c r="E65" s="80">
        <v>0</v>
      </c>
    </row>
    <row r="66" spans="2:5">
      <c r="B66" s="122" t="s">
        <v>50</v>
      </c>
      <c r="C66" s="22" t="s">
        <v>51</v>
      </c>
      <c r="D66" s="79">
        <v>0</v>
      </c>
      <c r="E66" s="80">
        <v>0</v>
      </c>
    </row>
    <row r="67" spans="2:5">
      <c r="B67" s="101" t="s">
        <v>52</v>
      </c>
      <c r="C67" s="15" t="s">
        <v>53</v>
      </c>
      <c r="D67" s="77">
        <v>0</v>
      </c>
      <c r="E67" s="78">
        <v>0</v>
      </c>
    </row>
    <row r="68" spans="2:5">
      <c r="B68" s="101" t="s">
        <v>54</v>
      </c>
      <c r="C68" s="15" t="s">
        <v>55</v>
      </c>
      <c r="D68" s="77">
        <v>0</v>
      </c>
      <c r="E68" s="78">
        <v>0</v>
      </c>
    </row>
    <row r="69" spans="2:5">
      <c r="B69" s="101" t="s">
        <v>56</v>
      </c>
      <c r="C69" s="15" t="s">
        <v>57</v>
      </c>
      <c r="D69" s="239">
        <v>0</v>
      </c>
      <c r="E69" s="78">
        <v>0</v>
      </c>
    </row>
    <row r="70" spans="2:5">
      <c r="B70" s="128" t="s">
        <v>58</v>
      </c>
      <c r="C70" s="112" t="s">
        <v>59</v>
      </c>
      <c r="D70" s="113">
        <v>0</v>
      </c>
      <c r="E70" s="114">
        <v>0</v>
      </c>
    </row>
    <row r="71" spans="2:5">
      <c r="B71" s="129" t="s">
        <v>23</v>
      </c>
      <c r="C71" s="120" t="s">
        <v>61</v>
      </c>
      <c r="D71" s="121">
        <v>0</v>
      </c>
      <c r="E71" s="66">
        <v>0</v>
      </c>
    </row>
    <row r="72" spans="2:5">
      <c r="B72" s="130" t="s">
        <v>60</v>
      </c>
      <c r="C72" s="116" t="s">
        <v>63</v>
      </c>
      <c r="D72" s="117">
        <f>E14</f>
        <v>0</v>
      </c>
      <c r="E72" s="118">
        <v>0</v>
      </c>
    </row>
    <row r="73" spans="2:5">
      <c r="B73" s="131" t="s">
        <v>62</v>
      </c>
      <c r="C73" s="24" t="s">
        <v>65</v>
      </c>
      <c r="D73" s="25">
        <v>0</v>
      </c>
      <c r="E73" s="26">
        <v>0</v>
      </c>
    </row>
    <row r="74" spans="2:5">
      <c r="B74" s="129" t="s">
        <v>64</v>
      </c>
      <c r="C74" s="120" t="s">
        <v>66</v>
      </c>
      <c r="D74" s="121">
        <f>D58</f>
        <v>2063824.27</v>
      </c>
      <c r="E74" s="66">
        <f>E58+E72-E73</f>
        <v>1</v>
      </c>
    </row>
    <row r="75" spans="2:5">
      <c r="B75" s="101" t="s">
        <v>4</v>
      </c>
      <c r="C75" s="15" t="s">
        <v>67</v>
      </c>
      <c r="D75" s="77">
        <f>D74</f>
        <v>2063824.27</v>
      </c>
      <c r="E75" s="78">
        <f>E74</f>
        <v>1</v>
      </c>
    </row>
    <row r="76" spans="2:5">
      <c r="B76" s="101" t="s">
        <v>6</v>
      </c>
      <c r="C76" s="15" t="s">
        <v>119</v>
      </c>
      <c r="D76" s="77">
        <v>0</v>
      </c>
      <c r="E76" s="78">
        <v>0</v>
      </c>
    </row>
    <row r="77" spans="2:5" ht="13.5" thickBot="1">
      <c r="B77" s="102" t="s">
        <v>8</v>
      </c>
      <c r="C77" s="17" t="s">
        <v>120</v>
      </c>
      <c r="D77" s="81">
        <v>0</v>
      </c>
      <c r="E77" s="82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159</vt:i4>
      </vt:variant>
      <vt:variant>
        <vt:lpstr>Zakresy nazwane</vt:lpstr>
      </vt:variant>
      <vt:variant>
        <vt:i4>59</vt:i4>
      </vt:variant>
    </vt:vector>
  </HeadingPairs>
  <TitlesOfParts>
    <vt:vector size="218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Surowców i Energii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Allianz Obligacji Glob.</vt:lpstr>
      <vt:lpstr>Altus ASZD</vt:lpstr>
      <vt:lpstr>Aviva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Akcji Sp.Dyw.</vt:lpstr>
      <vt:lpstr>Investor TOP 25 MS</vt:lpstr>
      <vt:lpstr>Investor Zrównoważony</vt:lpstr>
      <vt:lpstr>Investor Ameryka Łacińska</vt:lpstr>
      <vt:lpstr>Investor BRIC</vt:lpstr>
      <vt:lpstr>Investor Gold</vt:lpstr>
      <vt:lpstr>Investor Got.</vt:lpstr>
      <vt:lpstr>Investor Indie i Chiny</vt:lpstr>
      <vt:lpstr>Investor OK</vt:lpstr>
      <vt:lpstr>Investor Oszcz.</vt:lpstr>
      <vt:lpstr>Investor ZE</vt:lpstr>
      <vt:lpstr>JPM EMO</vt:lpstr>
      <vt:lpstr>JPM GH</vt:lpstr>
      <vt:lpstr>JPM GSB</vt:lpstr>
      <vt:lpstr>JPM GMO</vt:lpstr>
      <vt:lpstr>Esaliens Akcji</vt:lpstr>
      <vt:lpstr>Esaliens Obligacji</vt:lpstr>
      <vt:lpstr>Esaliens Kons</vt:lpstr>
      <vt:lpstr>Esaliens Strateg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AS</vt:lpstr>
      <vt:lpstr>NN ŚMS</vt:lpstr>
      <vt:lpstr>NN Eur.SD</vt:lpstr>
      <vt:lpstr>NN Glob. Długu Korp.</vt:lpstr>
      <vt:lpstr>NN Glob.SD</vt:lpstr>
      <vt:lpstr>NN J</vt:lpstr>
      <vt:lpstr>NN NA</vt:lpstr>
      <vt:lpstr>NN ORW</vt:lpstr>
      <vt:lpstr>NN Sp.Dyw.USA</vt:lpstr>
      <vt:lpstr>NN SGA</vt:lpstr>
      <vt:lpstr>NN SDRW</vt:lpstr>
      <vt:lpstr>Noble AMiŚS</vt:lpstr>
      <vt:lpstr>Noble AP</vt:lpstr>
      <vt:lpstr>Noble AA</vt:lpstr>
      <vt:lpstr>Pekao ARW</vt:lpstr>
      <vt:lpstr>Pekao AGD</vt:lpstr>
      <vt:lpstr>Pekao OS</vt:lpstr>
      <vt:lpstr>Pekao Spokojna Inw</vt:lpstr>
      <vt:lpstr>Pekao WDRE</vt:lpstr>
      <vt:lpstr>Pekao Surowców i Energii</vt:lpstr>
      <vt:lpstr>Pekao AP</vt:lpstr>
      <vt:lpstr>Pekao DS</vt:lpstr>
      <vt:lpstr>Pekao OP</vt:lpstr>
      <vt:lpstr>Pekao Kons.</vt:lpstr>
      <vt:lpstr>Pekao Kons.+</vt:lpstr>
      <vt:lpstr>Pekao Stab.Inwest.</vt:lpstr>
      <vt:lpstr>Pekao DA2</vt:lpstr>
      <vt:lpstr>Pekao AS</vt:lpstr>
      <vt:lpstr>Pekao AE</vt:lpstr>
      <vt:lpstr>Pekao SG</vt:lpstr>
      <vt:lpstr>Pekao MIS</vt:lpstr>
      <vt:lpstr>Pekao OID</vt:lpstr>
      <vt:lpstr>PKO Akcji Nowa Europa</vt:lpstr>
      <vt:lpstr>PKO Obligacji Dług.</vt:lpstr>
      <vt:lpstr>PKO Stabilnego Wzrostu</vt:lpstr>
      <vt:lpstr>PKO Zrównoważony</vt:lpstr>
      <vt:lpstr>PZU ASD</vt:lpstr>
      <vt:lpstr>PZU AK</vt:lpstr>
      <vt:lpstr>PZU AMiŚS</vt:lpstr>
      <vt:lpstr>PZU M</vt:lpstr>
      <vt:lpstr>PZU Zrówn.</vt:lpstr>
      <vt:lpstr>PZU ARR</vt:lpstr>
      <vt:lpstr>PZU PDP</vt:lpstr>
      <vt:lpstr>Quercus A</vt:lpstr>
      <vt:lpstr>Quercus OK</vt:lpstr>
      <vt:lpstr>Quercus GB</vt:lpstr>
      <vt:lpstr>Schroder ISF ACB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Kons.</vt:lpstr>
      <vt:lpstr>Skarbiec L</vt:lpstr>
      <vt:lpstr>Skarbiec MIŚS</vt:lpstr>
      <vt:lpstr>Skarbiec GMIŚS</vt:lpstr>
      <vt:lpstr>Skarbiec SW</vt:lpstr>
      <vt:lpstr>Skarbiec A</vt:lpstr>
      <vt:lpstr>Skarbiec Brands</vt:lpstr>
      <vt:lpstr>Templeton GB</vt:lpstr>
      <vt:lpstr>Templeton GTR</vt:lpstr>
      <vt:lpstr>Templeton LA</vt:lpstr>
      <vt:lpstr>Generali AD</vt:lpstr>
      <vt:lpstr>Generali AMIŚS</vt:lpstr>
      <vt:lpstr>Generali ANE</vt:lpstr>
      <vt:lpstr>Generali UAWS</vt:lpstr>
      <vt:lpstr>Generali KA</vt:lpstr>
      <vt:lpstr>Generali KO</vt:lpstr>
      <vt:lpstr>Generali P</vt:lpstr>
      <vt:lpstr>Generali KZ</vt:lpstr>
      <vt:lpstr>Generali L</vt:lpstr>
      <vt:lpstr>Generali ONE</vt:lpstr>
      <vt:lpstr>Generali SW</vt:lpstr>
      <vt:lpstr>Generali OA</vt:lpstr>
      <vt:lpstr>Generali ADW</vt:lpstr>
      <vt:lpstr>dodatkowedane</vt:lpstr>
      <vt:lpstr>'Aktywny - Surowce i Nowe Gosp.'!Obszar_wydruku</vt:lpstr>
      <vt:lpstr>'Allianz Obligacji Plus'!Obszar_wydruku</vt:lpstr>
      <vt:lpstr>'Aviva Dł.Pap.Korp.'!Obszar_wydruku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'Generali KO'!Obszar_wydruku</vt:lpstr>
      <vt:lpstr>'Generali ONE'!Obszar_wydruku</vt:lpstr>
      <vt:lpstr>'Investor Akcji Sp.Dyw.'!Obszar_wydruku</vt:lpstr>
      <vt:lpstr>'Investor Ameryka Łacińska'!Obszar_wydruku</vt:lpstr>
      <vt:lpstr>'Inwestor Akcji'!Obszar_wydruku</vt:lpstr>
      <vt:lpstr>'NN Eur.SD'!Obszar_wydruku</vt:lpstr>
      <vt:lpstr>'NN Glob. Długu Korp.'!Obszar_wydruku</vt:lpstr>
      <vt:lpstr>'NN Glob.SD'!Obszar_wydruku</vt:lpstr>
      <vt:lpstr>'Noble AA'!Obszar_wydruku</vt:lpstr>
      <vt:lpstr>'Noble AP'!Obszar_wydruku</vt:lpstr>
      <vt:lpstr>'Pekao AGD'!Obszar_wydruku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'Pekao Stab.Inwest.'!Obszar_wydruku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'PZU Zrówn.'!Obszar_wydruku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Kons.'!Obszar_wydruku</vt:lpstr>
      <vt:lpstr>'Skarbiec L'!Obszar_wydruku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 Izabela</cp:lastModifiedBy>
  <cp:lastPrinted>2015-02-02T16:54:01Z</cp:lastPrinted>
  <dcterms:created xsi:type="dcterms:W3CDTF">2012-07-31T14:09:53Z</dcterms:created>
  <dcterms:modified xsi:type="dcterms:W3CDTF">2020-08-07T07:08:59Z</dcterms:modified>
</cp:coreProperties>
</file>