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20" yWindow="615" windowWidth="20700" windowHeight="10800" tabRatio="848" firstSheet="168" activeTab="176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Akcji" sheetId="1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Pieniężny" sheetId="30" r:id="rId37"/>
    <sheet name="Allianz Polskich Obl.Skarb." sheetId="48" r:id="rId38"/>
    <sheet name="Allianz Selektywny" sheetId="83" r:id="rId39"/>
    <sheet name="Allianz Akcji Glob." sheetId="42" r:id="rId40"/>
    <sheet name="Allianz Surowców i Energii" sheetId="188" r:id="rId41"/>
    <sheet name="Allianz Akcji Rynkow Wsch" sheetId="195" r:id="rId42"/>
    <sheet name="Allianz Dyn.Multistrategia" sheetId="196" r:id="rId43"/>
    <sheet name="Allianz Def.Multistrategia" sheetId="209" r:id="rId44"/>
    <sheet name="Allianz Zbal.Multistrategia" sheetId="210" r:id="rId45"/>
    <sheet name="Allianz GSD" sheetId="197" r:id="rId46"/>
    <sheet name="Allianz Obligacji Glob." sheetId="198" r:id="rId47"/>
    <sheet name="Altus ASZD" sheetId="156" r:id="rId48"/>
    <sheet name="Altus ASZRP" sheetId="200" r:id="rId49"/>
    <sheet name="Aviva Dł.Pap.Korp." sheetId="112" r:id="rId50"/>
    <sheet name="Aviva MS" sheetId="97" r:id="rId51"/>
    <sheet name="Franklin EDF" sheetId="96" r:id="rId52"/>
    <sheet name="Franklin GFS" sheetId="151" r:id="rId53"/>
    <sheet name="Franklin NR" sheetId="107" r:id="rId54"/>
    <sheet name="Franklin USO" sheetId="152" r:id="rId55"/>
    <sheet name="GS EMDP" sheetId="211" r:id="rId56"/>
    <sheet name="GS GSMBP" sheetId="218" r:id="rId57"/>
    <sheet name="Inwestor Akcji" sheetId="106" r:id="rId58"/>
    <sheet name="Investor Akcji Sp.Dyw." sheetId="123" r:id="rId59"/>
    <sheet name="Investor TOP 25 MS" sheetId="33" r:id="rId60"/>
    <sheet name="Investor Zrównoważony" sheetId="34" r:id="rId61"/>
    <sheet name="Investor Ameryka Łacińska" sheetId="124" r:id="rId62"/>
    <sheet name="Investor BRIC" sheetId="57" r:id="rId63"/>
    <sheet name="Investor Gold" sheetId="55" r:id="rId64"/>
    <sheet name="Investor Got." sheetId="43" r:id="rId65"/>
    <sheet name="Investor Indie i Chiny" sheetId="189" r:id="rId66"/>
    <sheet name="Investor Turcja" sheetId="56" r:id="rId67"/>
    <sheet name="Investor OK" sheetId="212" r:id="rId68"/>
    <sheet name="Investor PL" sheetId="202" r:id="rId69"/>
    <sheet name="Investor ZE" sheetId="201" r:id="rId70"/>
    <sheet name="Investor ASW" sheetId="223" r:id="rId71"/>
    <sheet name="Ipopema A" sheetId="206" r:id="rId72"/>
    <sheet name="JPM EMO" sheetId="24" r:id="rId73"/>
    <sheet name="JPM GH" sheetId="149" r:id="rId74"/>
    <sheet name="JPM GSB" sheetId="148" r:id="rId75"/>
    <sheet name="JPM GMO" sheetId="224" r:id="rId76"/>
    <sheet name="Esaliens Akcji" sheetId="186" r:id="rId77"/>
    <sheet name="Esaliens Obligacji" sheetId="35" r:id="rId78"/>
    <sheet name="Esaliens Pieniężny" sheetId="153" r:id="rId79"/>
    <sheet name="Esaliens Strateg" sheetId="47" r:id="rId80"/>
    <sheet name="Millenium Master I" sheetId="27" r:id="rId81"/>
    <sheet name="Millenium Master II" sheetId="70" r:id="rId82"/>
    <sheet name="Millenium Master III" sheetId="71" r:id="rId83"/>
    <sheet name="Millenium Master IV" sheetId="72" r:id="rId84"/>
    <sheet name="Millenium Master V" sheetId="73" r:id="rId85"/>
    <sheet name="Millenium Master VI" sheetId="74" r:id="rId86"/>
    <sheet name="Millenium Master VII" sheetId="75" r:id="rId87"/>
    <sheet name="NN Akcji" sheetId="77" r:id="rId88"/>
    <sheet name="NN Obligacji" sheetId="36" r:id="rId89"/>
    <sheet name="NN AŚ" sheetId="37" r:id="rId90"/>
    <sheet name="NN ŚMS" sheetId="161" r:id="rId91"/>
    <sheet name="NN Eur.SD" sheetId="115" r:id="rId92"/>
    <sheet name="NN Glob. Długu Korp." sheetId="92" r:id="rId93"/>
    <sheet name="NN Glob.SD" sheetId="90" r:id="rId94"/>
    <sheet name="NN J" sheetId="76" r:id="rId95"/>
    <sheet name="NN NA" sheetId="138" r:id="rId96"/>
    <sheet name="NN ORW" sheetId="136" r:id="rId97"/>
    <sheet name="NN Sp.Dyw.USA" sheetId="137" r:id="rId98"/>
    <sheet name="NN SGA" sheetId="163" r:id="rId99"/>
    <sheet name="NN SDRW" sheetId="213" r:id="rId100"/>
    <sheet name="NN D" sheetId="219" r:id="rId101"/>
    <sheet name="Noble AMiŚS" sheetId="164" r:id="rId102"/>
    <sheet name="Noble A" sheetId="114" r:id="rId103"/>
    <sheet name="Noble GR" sheetId="226" r:id="rId104"/>
    <sheet name="Pekao ARW" sheetId="193" r:id="rId105"/>
    <sheet name="Pekao AGD" sheetId="88" r:id="rId106"/>
    <sheet name="Pekao OS" sheetId="167" r:id="rId107"/>
    <sheet name="Pekao G" sheetId="129" r:id="rId108"/>
    <sheet name="Pekao WDRE" sheetId="168" r:id="rId109"/>
    <sheet name="Pekao Surowców i Energii" sheetId="169" r:id="rId110"/>
    <sheet name="Pekao AP" sheetId="46" r:id="rId111"/>
    <sheet name="Pekao DS" sheetId="89" r:id="rId112"/>
    <sheet name="Pekao OP" sheetId="128" r:id="rId113"/>
    <sheet name="Pekao P" sheetId="85" r:id="rId114"/>
    <sheet name="Pekao P+" sheetId="103" r:id="rId115"/>
    <sheet name="Pekao Stab.Inwest." sheetId="102" r:id="rId116"/>
    <sheet name="Pekao DA2" sheetId="104" r:id="rId117"/>
    <sheet name="Pekao AS" sheetId="170" r:id="rId118"/>
    <sheet name="Pekao AA" sheetId="190" r:id="rId119"/>
    <sheet name="Pekao AE" sheetId="165" r:id="rId120"/>
    <sheet name="Pekao SG" sheetId="166" r:id="rId121"/>
    <sheet name="Pekao AMIŚSRR" sheetId="214" r:id="rId122"/>
    <sheet name="Pekao OID" sheetId="220" r:id="rId123"/>
    <sheet name="PKO Akcji Nowa Europa" sheetId="171" r:id="rId124"/>
    <sheet name="PKO Obligacji Dług." sheetId="38" r:id="rId125"/>
    <sheet name="PKO Stabilnego Wzrostu" sheetId="23" r:id="rId126"/>
    <sheet name="PKO Zrównoważony" sheetId="25" r:id="rId127"/>
    <sheet name="PZU ASD" sheetId="173" r:id="rId128"/>
    <sheet name="PZU AK" sheetId="174" r:id="rId129"/>
    <sheet name="PZU AMiŚS" sheetId="130" r:id="rId130"/>
    <sheet name="PZU EME" sheetId="39" r:id="rId131"/>
    <sheet name="PZU Zrówn." sheetId="100" r:id="rId132"/>
    <sheet name="PZU ARR" sheetId="99" r:id="rId133"/>
    <sheet name="PZU PDP" sheetId="205" r:id="rId134"/>
    <sheet name="PZU S+" sheetId="204" r:id="rId135"/>
    <sheet name="Quercus A" sheetId="101" r:id="rId136"/>
    <sheet name="Quercus LEV" sheetId="118" r:id="rId137"/>
    <sheet name="Quercus OK" sheetId="143" r:id="rId138"/>
    <sheet name="Quercus R" sheetId="119" r:id="rId139"/>
    <sheet name="Quercus SEL" sheetId="144" r:id="rId140"/>
    <sheet name="Quercus Short" sheetId="145" r:id="rId141"/>
    <sheet name="Quercus Stab." sheetId="117" r:id="rId142"/>
    <sheet name="Quercus T" sheetId="116" r:id="rId143"/>
    <sheet name="Schroder ISF ACB" sheetId="142" r:id="rId144"/>
    <sheet name="Schroder ISF AO" sheetId="147" r:id="rId145"/>
    <sheet name="Schroder ISF EMDAR" sheetId="179" r:id="rId146"/>
    <sheet name="Schroder ISF EE" sheetId="146" r:id="rId147"/>
    <sheet name="Schroder ISF FME" sheetId="133" r:id="rId148"/>
    <sheet name="Schroder ISF GDG" sheetId="132" r:id="rId149"/>
    <sheet name="Schroder ISF GHIB" sheetId="135" r:id="rId150"/>
    <sheet name="Skarbiec K" sheetId="134" r:id="rId151"/>
    <sheet name="Skarbiec L" sheetId="113" r:id="rId152"/>
    <sheet name="Skarbiec MIŚS" sheetId="140" r:id="rId153"/>
    <sheet name="Skarbiec GMIŚS" sheetId="227" r:id="rId154"/>
    <sheet name="Skarbiec SW" sheetId="175" r:id="rId155"/>
    <sheet name="Skarbiec MN" sheetId="141" r:id="rId156"/>
    <sheet name="Skarbiec A" sheetId="215" r:id="rId157"/>
    <sheet name="Skarbiec Brands" sheetId="216" r:id="rId158"/>
    <sheet name="Templeton AG" sheetId="176" r:id="rId159"/>
    <sheet name="Templeton GB" sheetId="159" r:id="rId160"/>
    <sheet name="Templeton GTR" sheetId="109" r:id="rId161"/>
    <sheet name="Templeton LA" sheetId="108" r:id="rId162"/>
    <sheet name="UniAkcje Dyw." sheetId="187" r:id="rId163"/>
    <sheet name="Uni Akcje MIŚS" sheetId="177" r:id="rId164"/>
    <sheet name="UniAkcje Nowa Europa" sheetId="41" r:id="rId165"/>
    <sheet name="UniAkcje Wzrostu" sheetId="40" r:id="rId166"/>
    <sheet name="UniKorona Akcje" sheetId="64" r:id="rId167"/>
    <sheet name="UniKorona Obligacje" sheetId="110" r:id="rId168"/>
    <sheet name="UniKorona Pieniężny" sheetId="20" r:id="rId169"/>
    <sheet name="UniKorona Zrównoważony" sheetId="62" r:id="rId170"/>
    <sheet name="UniLokata" sheetId="26" r:id="rId171"/>
    <sheet name="UniObligacje Nowa Europa" sheetId="105" r:id="rId172"/>
    <sheet name="UniStabilny Wzrost" sheetId="63" r:id="rId173"/>
    <sheet name="UniObligacje Zamienne" sheetId="65" r:id="rId174"/>
    <sheet name="UniObligacje Aktywny" sheetId="191" r:id="rId175"/>
    <sheet name="UniAkcje Daleki Wschod" sheetId="228" r:id="rId176"/>
    <sheet name="dodatkowedane" sheetId="80" r:id="rId177"/>
  </sheets>
  <definedNames>
    <definedName name="_xlnm.Print_Area" localSheetId="26">'Aktywny - Surowce i Nowe Gosp.'!$B$2:$E$73</definedName>
    <definedName name="_xlnm.Print_Area" localSheetId="31">'Allianz Akcji'!$B$2:$E$74</definedName>
    <definedName name="_xlnm.Print_Area" localSheetId="33">'Allianz Obligacji Plus'!$B$2:$E$74</definedName>
    <definedName name="_xlnm.Print_Area" localSheetId="49">'Aviva Dł.Pap.Korp.'!$B$2:$E$74</definedName>
    <definedName name="_xlnm.Print_Area" localSheetId="50">'Aviva MS'!$B$2:$E$74</definedName>
    <definedName name="_xlnm.Print_Area" localSheetId="51">'Franklin EDF'!$B$2:$E$74</definedName>
    <definedName name="_xlnm.Print_Area" localSheetId="53">'Franklin NR'!$B$2:$E$74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58">'Investor Akcji Sp.Dyw.'!$B$2:$E$74</definedName>
    <definedName name="_xlnm.Print_Area" localSheetId="61">'Investor Ameryka Łacińska'!$B$2:$E$74</definedName>
    <definedName name="_xlnm.Print_Area" localSheetId="57">'Inwestor Akcji'!$B$2:$E$74</definedName>
    <definedName name="_xlnm.Print_Area" localSheetId="91">'NN Eur.SD'!$B$2:$E$74</definedName>
    <definedName name="_xlnm.Print_Area" localSheetId="92">'NN Glob. Długu Korp.'!$B$2:$E$74</definedName>
    <definedName name="_xlnm.Print_Area" localSheetId="93">'NN Glob.SD'!$B$2:$E$74</definedName>
    <definedName name="_xlnm.Print_Area" localSheetId="102">'Noble A'!$B$2:$E$74</definedName>
    <definedName name="_xlnm.Print_Area" localSheetId="103">'Noble GR'!$B$2:$E$74</definedName>
    <definedName name="_xlnm.Print_Area" localSheetId="105">'Pekao AGD'!$B$2:$E$74</definedName>
    <definedName name="_xlnm.Print_Area" localSheetId="116">'Pekao DA2'!$B$2:$E$74</definedName>
    <definedName name="_xlnm.Print_Area" localSheetId="111">'Pekao DS'!$B$2:$E$74</definedName>
    <definedName name="_xlnm.Print_Area" localSheetId="107">'Pekao G'!$B$2:$E$74</definedName>
    <definedName name="_xlnm.Print_Area" localSheetId="112">'Pekao OP'!$B$2:$E$74</definedName>
    <definedName name="_xlnm.Print_Area" localSheetId="113">'Pekao P'!$B$2:$E$74</definedName>
    <definedName name="_xlnm.Print_Area" localSheetId="114">'Pekao P+'!$B$2:$E$74</definedName>
    <definedName name="_xlnm.Print_Area" localSheetId="115">'Pekao Stab.Inwest.'!$B$2:$E$74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9">'PZU AMiŚS'!$B$2:$E$74</definedName>
    <definedName name="_xlnm.Print_Area" localSheetId="132">'PZU ARR'!$B$2:$E$74</definedName>
    <definedName name="_xlnm.Print_Area" localSheetId="130">'PZU EME'!$B$2:$E$74</definedName>
    <definedName name="_xlnm.Print_Area" localSheetId="131">'PZU Zrówn.'!$B$2:$E$74</definedName>
    <definedName name="_xlnm.Print_Area" localSheetId="135">'Quercus A'!$B$2:$E$74</definedName>
    <definedName name="_xlnm.Print_Area" localSheetId="136">'Quercus LEV'!$B$2:$E$74</definedName>
    <definedName name="_xlnm.Print_Area" localSheetId="138">'Quercus R'!$B$2:$E$74</definedName>
    <definedName name="_xlnm.Print_Area" localSheetId="141">'Quercus Stab.'!$B$2:$E$74</definedName>
    <definedName name="_xlnm.Print_Area" localSheetId="142">'Quercus T'!$B$2:$E$74</definedName>
    <definedName name="_xlnm.Print_Area" localSheetId="147">'Schroder ISF FME'!$B$2:$E$74</definedName>
    <definedName name="_xlnm.Print_Area" localSheetId="148">'Schroder ISF GDG'!$B$2:$E$74</definedName>
    <definedName name="_xlnm.Print_Area" localSheetId="149">'Schroder ISF GHIB'!$B$2:$E$74</definedName>
    <definedName name="_xlnm.Print_Area" localSheetId="150">'Skarbiec K'!$B$2:$E$74</definedName>
    <definedName name="_xlnm.Print_Area" localSheetId="151">'Skarbiec L'!$B$2:$E$74</definedName>
    <definedName name="_xlnm.Print_Area" localSheetId="160">'Templeton GTR'!$B$2:$E$74</definedName>
    <definedName name="_xlnm.Print_Area" localSheetId="161">'Templeton LA'!$B$2:$E$74</definedName>
    <definedName name="_xlnm.Print_Area" localSheetId="167">'UniKorona Obligacje'!$B$2:$E$74</definedName>
    <definedName name="_xlnm.Print_Area" localSheetId="171">'UniObligacje Nowa Europa'!$B$2:$E$74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45621"/>
</workbook>
</file>

<file path=xl/calcChain.xml><?xml version="1.0" encoding="utf-8"?>
<calcChain xmlns="http://schemas.openxmlformats.org/spreadsheetml/2006/main">
  <c r="E32" i="122" l="1"/>
  <c r="E27" i="122" s="1"/>
  <c r="E33" i="70" l="1"/>
  <c r="E33" i="27"/>
  <c r="E27" i="14"/>
  <c r="E28" i="28"/>
  <c r="E28" i="22"/>
  <c r="E28" i="49"/>
  <c r="E28" i="29"/>
  <c r="E28" i="30"/>
  <c r="E28" i="48"/>
  <c r="E28" i="83"/>
  <c r="E28" i="42"/>
  <c r="E28" i="188"/>
  <c r="E28" i="195"/>
  <c r="E28" i="196"/>
  <c r="E28" i="209"/>
  <c r="E28" i="210"/>
  <c r="E28" i="197"/>
  <c r="E28" i="198"/>
  <c r="E28" i="156"/>
  <c r="E28" i="200"/>
  <c r="E28" i="112"/>
  <c r="E28" i="97"/>
  <c r="E27" i="97" s="1"/>
  <c r="E28" i="96"/>
  <c r="E28" i="151"/>
  <c r="E28" i="107"/>
  <c r="E27" i="107" s="1"/>
  <c r="E28" i="152"/>
  <c r="E27" i="152" s="1"/>
  <c r="E28" i="211"/>
  <c r="E27" i="211" s="1"/>
  <c r="E28" i="218"/>
  <c r="E27" i="218" s="1"/>
  <c r="E28" i="106"/>
  <c r="E27" i="106" s="1"/>
  <c r="E28" i="123"/>
  <c r="E27" i="123" s="1"/>
  <c r="E28" i="33"/>
  <c r="E28" i="34"/>
  <c r="E28" i="124"/>
  <c r="E28" i="57"/>
  <c r="E28" i="55"/>
  <c r="E28" i="43"/>
  <c r="E28" i="189"/>
  <c r="E28" i="56"/>
  <c r="E28" i="212"/>
  <c r="E28" i="202"/>
  <c r="E28" i="201"/>
  <c r="E27" i="201" s="1"/>
  <c r="E28" i="223"/>
  <c r="E27" i="223" s="1"/>
  <c r="E28" i="206"/>
  <c r="E28" i="24"/>
  <c r="E27" i="24" s="1"/>
  <c r="E28" i="149"/>
  <c r="E28" i="148"/>
  <c r="E28" i="224"/>
  <c r="E28" i="186"/>
  <c r="E28" i="35"/>
  <c r="E28" i="153"/>
  <c r="E28" i="47"/>
  <c r="E28" i="27"/>
  <c r="E28" i="70"/>
  <c r="E28" i="71"/>
  <c r="E28" i="72"/>
  <c r="E28" i="73"/>
  <c r="E27" i="73" s="1"/>
  <c r="E28" i="74"/>
  <c r="E27" i="74" s="1"/>
  <c r="E28" i="75"/>
  <c r="E28" i="77"/>
  <c r="E27" i="77" s="1"/>
  <c r="E28" i="36"/>
  <c r="E28" i="37"/>
  <c r="E28" i="161"/>
  <c r="E28" i="115"/>
  <c r="E27" i="115" s="1"/>
  <c r="E28" i="92"/>
  <c r="E27" i="92" s="1"/>
  <c r="E28" i="90"/>
  <c r="E28" i="76"/>
  <c r="E28" i="138"/>
  <c r="E28" i="136"/>
  <c r="E28" i="137"/>
  <c r="E28" i="163"/>
  <c r="E27" i="163" s="1"/>
  <c r="E28" i="213"/>
  <c r="E27" i="213" s="1"/>
  <c r="E28" i="219"/>
  <c r="E27" i="219" s="1"/>
  <c r="E28" i="164"/>
  <c r="E28" i="114"/>
  <c r="E27" i="114" s="1"/>
  <c r="E28" i="226"/>
  <c r="E27" i="226" s="1"/>
  <c r="E28" i="193"/>
  <c r="E27" i="193" s="1"/>
  <c r="E28" i="88"/>
  <c r="E27" i="88" s="1"/>
  <c r="E28" i="167"/>
  <c r="E28" i="129"/>
  <c r="E27" i="129" s="1"/>
  <c r="E28" i="168"/>
  <c r="E27" i="168" s="1"/>
  <c r="E28" i="169"/>
  <c r="E28" i="46"/>
  <c r="E27" i="46" s="1"/>
  <c r="E28" i="89"/>
  <c r="E28" i="128"/>
  <c r="E28" i="85"/>
  <c r="E28" i="103"/>
  <c r="E28" i="102"/>
  <c r="E28" i="104"/>
  <c r="E27" i="104" s="1"/>
  <c r="E28" i="170"/>
  <c r="E27" i="170" s="1"/>
  <c r="E28" i="190"/>
  <c r="E27" i="190" s="1"/>
  <c r="E28" i="165"/>
  <c r="E28" i="166"/>
  <c r="E28" i="214"/>
  <c r="E28" i="220"/>
  <c r="E28" i="171"/>
  <c r="E28" i="38"/>
  <c r="E28" i="23"/>
  <c r="E28" i="25"/>
  <c r="E28" i="173"/>
  <c r="E27" i="173" s="1"/>
  <c r="E28" i="174"/>
  <c r="E28" i="130"/>
  <c r="E28" i="39"/>
  <c r="E28" i="100"/>
  <c r="E27" i="100" s="1"/>
  <c r="E28" i="99"/>
  <c r="E28" i="205"/>
  <c r="E27" i="205" s="1"/>
  <c r="E28" i="204"/>
  <c r="E27" i="204" s="1"/>
  <c r="E28" i="101"/>
  <c r="E28" i="118"/>
  <c r="E27" i="118" s="1"/>
  <c r="E28" i="143"/>
  <c r="E28" i="119"/>
  <c r="E28" i="144"/>
  <c r="E27" i="144" s="1"/>
  <c r="E28" i="145"/>
  <c r="E28" i="117"/>
  <c r="E27" i="117" s="1"/>
  <c r="E28" i="116"/>
  <c r="E27" i="116" s="1"/>
  <c r="E28" i="142"/>
  <c r="E28" i="147"/>
  <c r="E27" i="147" s="1"/>
  <c r="E28" i="179"/>
  <c r="E27" i="179" s="1"/>
  <c r="E28" i="146"/>
  <c r="E27" i="146" s="1"/>
  <c r="E28" i="133"/>
  <c r="E28" i="132"/>
  <c r="E28" i="135"/>
  <c r="E28" i="134"/>
  <c r="E27" i="134" s="1"/>
  <c r="E28" i="113"/>
  <c r="E27" i="113" s="1"/>
  <c r="E28" i="140"/>
  <c r="E27" i="140" s="1"/>
  <c r="E28" i="227"/>
  <c r="E27" i="227" s="1"/>
  <c r="E28" i="175"/>
  <c r="E28" i="141"/>
  <c r="E27" i="141" s="1"/>
  <c r="E28" i="215"/>
  <c r="E28" i="216"/>
  <c r="E27" i="216" s="1"/>
  <c r="E28" i="176"/>
  <c r="E28" i="159"/>
  <c r="E27" i="159" s="1"/>
  <c r="E28" i="109"/>
  <c r="E28" i="108"/>
  <c r="E27" i="108" s="1"/>
  <c r="E28" i="187"/>
  <c r="E28" i="177"/>
  <c r="E28" i="41"/>
  <c r="E28" i="40"/>
  <c r="E28" i="64"/>
  <c r="E28" i="110"/>
  <c r="E28" i="20"/>
  <c r="E28" i="62"/>
  <c r="E28" i="26"/>
  <c r="E28" i="105"/>
  <c r="E28" i="63"/>
  <c r="E28" i="65"/>
  <c r="E27" i="65" s="1"/>
  <c r="E28" i="191"/>
  <c r="E28" i="228"/>
  <c r="E27" i="228" s="1"/>
  <c r="E28" i="14"/>
  <c r="E32" i="22"/>
  <c r="E32" i="49"/>
  <c r="E27" i="49" s="1"/>
  <c r="E32" i="29"/>
  <c r="E32" i="30"/>
  <c r="E32" i="42"/>
  <c r="E27" i="42" s="1"/>
  <c r="E32" i="188"/>
  <c r="E32" i="195"/>
  <c r="E32" i="209"/>
  <c r="E32" i="210"/>
  <c r="E32" i="197"/>
  <c r="E27" i="197" s="1"/>
  <c r="E32" i="198"/>
  <c r="E32" i="156"/>
  <c r="E27" i="156" s="1"/>
  <c r="E32" i="200"/>
  <c r="E27" i="200" s="1"/>
  <c r="E32" i="112"/>
  <c r="E27" i="112" s="1"/>
  <c r="E32" i="97"/>
  <c r="E32" i="96"/>
  <c r="E27" i="96" s="1"/>
  <c r="E32" i="151"/>
  <c r="E27" i="151" s="1"/>
  <c r="E32" i="107"/>
  <c r="E32" i="152"/>
  <c r="E32" i="211"/>
  <c r="E32" i="218"/>
  <c r="E32" i="106"/>
  <c r="E32" i="123"/>
  <c r="E32" i="34"/>
  <c r="E27" i="34" s="1"/>
  <c r="E32" i="43"/>
  <c r="E27" i="43" s="1"/>
  <c r="E32" i="212"/>
  <c r="E27" i="212" s="1"/>
  <c r="E32" i="202"/>
  <c r="E32" i="201"/>
  <c r="E32" i="223"/>
  <c r="E32" i="206"/>
  <c r="E27" i="206" s="1"/>
  <c r="E32" i="24"/>
  <c r="E32" i="149"/>
  <c r="E32" i="148"/>
  <c r="E27" i="148" s="1"/>
  <c r="E32" i="224"/>
  <c r="E32" i="27"/>
  <c r="E27" i="27" s="1"/>
  <c r="E32" i="70"/>
  <c r="E27" i="70" s="1"/>
  <c r="E32" i="71"/>
  <c r="E32" i="72"/>
  <c r="E32" i="73"/>
  <c r="E32" i="74"/>
  <c r="E32" i="75"/>
  <c r="E27" i="75" s="1"/>
  <c r="E32" i="77"/>
  <c r="E32" i="36"/>
  <c r="E27" i="36" s="1"/>
  <c r="E32" i="161"/>
  <c r="E27" i="161" s="1"/>
  <c r="E32" i="115"/>
  <c r="E32" i="92"/>
  <c r="E32" i="138"/>
  <c r="E27" i="138" s="1"/>
  <c r="E32" i="136"/>
  <c r="E32" i="137"/>
  <c r="E32" i="163"/>
  <c r="E32" i="213"/>
  <c r="E32" i="219"/>
  <c r="E32" i="164"/>
  <c r="E32" i="114"/>
  <c r="E32" i="226"/>
  <c r="E32" i="193"/>
  <c r="E32" i="88"/>
  <c r="E32" i="167"/>
  <c r="E27" i="167" s="1"/>
  <c r="E32" i="129"/>
  <c r="E32" i="168"/>
  <c r="E32" i="169"/>
  <c r="E27" i="169" s="1"/>
  <c r="E32" i="46"/>
  <c r="E32" i="89"/>
  <c r="E32" i="85"/>
  <c r="E32" i="103"/>
  <c r="E27" i="103" s="1"/>
  <c r="E32" i="102"/>
  <c r="E27" i="102" s="1"/>
  <c r="E32" i="104"/>
  <c r="E32" i="170"/>
  <c r="E32" i="190"/>
  <c r="E32" i="165"/>
  <c r="E32" i="166"/>
  <c r="E32" i="214"/>
  <c r="E32" i="220"/>
  <c r="E32" i="171"/>
  <c r="E27" i="171" s="1"/>
  <c r="E32" i="173"/>
  <c r="E32" i="174"/>
  <c r="E27" i="174" s="1"/>
  <c r="E32" i="130"/>
  <c r="E27" i="130" s="1"/>
  <c r="E32" i="39"/>
  <c r="E27" i="39" s="1"/>
  <c r="E32" i="100"/>
  <c r="E32" i="99"/>
  <c r="E27" i="99" s="1"/>
  <c r="E32" i="205"/>
  <c r="E32" i="204"/>
  <c r="E32" i="118"/>
  <c r="E32" i="119"/>
  <c r="E27" i="119" s="1"/>
  <c r="E32" i="144"/>
  <c r="E32" i="145"/>
  <c r="E27" i="145" s="1"/>
  <c r="E32" i="117"/>
  <c r="E32" i="116"/>
  <c r="E32" i="142"/>
  <c r="E27" i="142" s="1"/>
  <c r="E32" i="147"/>
  <c r="E32" i="179"/>
  <c r="E32" i="146"/>
  <c r="E32" i="132"/>
  <c r="E27" i="132" s="1"/>
  <c r="E32" i="135"/>
  <c r="E32" i="134"/>
  <c r="E32" i="113"/>
  <c r="E32" i="140"/>
  <c r="E32" i="227"/>
  <c r="E32" i="175"/>
  <c r="E32" i="141"/>
  <c r="E32" i="215"/>
  <c r="E32" i="216"/>
  <c r="E32" i="176"/>
  <c r="E32" i="159"/>
  <c r="E32" i="108"/>
  <c r="E32" i="187"/>
  <c r="E27" i="187" s="1"/>
  <c r="E32" i="40"/>
  <c r="E27" i="40" s="1"/>
  <c r="E32" i="64"/>
  <c r="E27" i="64" s="1"/>
  <c r="E32" i="26"/>
  <c r="E27" i="26" s="1"/>
  <c r="E32" i="105"/>
  <c r="E27" i="105" s="1"/>
  <c r="E32" i="63"/>
  <c r="E27" i="63" s="1"/>
  <c r="E32" i="65"/>
  <c r="E32" i="191"/>
  <c r="E32" i="228"/>
  <c r="E32" i="14"/>
  <c r="E32" i="84"/>
  <c r="E27" i="84" s="1"/>
  <c r="E27" i="60"/>
  <c r="E32" i="61"/>
  <c r="E27" i="61" s="1"/>
  <c r="E27" i="58"/>
  <c r="E27" i="9"/>
  <c r="E32" i="9"/>
  <c r="E32" i="217"/>
  <c r="E27" i="217" s="1"/>
  <c r="E32" i="199"/>
  <c r="E27" i="199" s="1"/>
  <c r="E28" i="93"/>
  <c r="E32" i="94"/>
  <c r="E27" i="94" s="1"/>
  <c r="D64" i="67"/>
  <c r="D64" i="69"/>
  <c r="D64" i="120"/>
  <c r="E32" i="121"/>
  <c r="E27" i="121" s="1"/>
  <c r="D64" i="122"/>
  <c r="E27" i="79"/>
  <c r="E32" i="79"/>
  <c r="D64" i="78"/>
  <c r="D64" i="81"/>
  <c r="D64" i="17"/>
  <c r="D64" i="16"/>
  <c r="D64" i="11"/>
  <c r="E27" i="165" l="1"/>
  <c r="E27" i="89"/>
  <c r="E27" i="224"/>
  <c r="E27" i="191"/>
  <c r="E27" i="176"/>
  <c r="E27" i="175"/>
  <c r="E27" i="220"/>
  <c r="E27" i="135"/>
  <c r="E27" i="214"/>
  <c r="E27" i="85"/>
  <c r="E27" i="164"/>
  <c r="E27" i="137"/>
  <c r="E27" i="215"/>
  <c r="E27" i="166"/>
  <c r="E27" i="136"/>
  <c r="E27" i="202"/>
  <c r="E27" i="198"/>
  <c r="E27" i="210"/>
  <c r="E27" i="209"/>
  <c r="E27" i="195"/>
  <c r="E27" i="188"/>
  <c r="E27" i="30"/>
  <c r="E27" i="29"/>
  <c r="E27" i="22"/>
  <c r="E27" i="149"/>
  <c r="E27" i="72"/>
  <c r="E27" i="71"/>
  <c r="D64" i="10"/>
  <c r="D64" i="5"/>
  <c r="D64" i="4"/>
  <c r="D64" i="194"/>
  <c r="D59" i="1"/>
  <c r="E33" i="62" l="1"/>
  <c r="E32" i="62" s="1"/>
  <c r="E27" i="62" s="1"/>
  <c r="E12" i="62"/>
  <c r="E33" i="20"/>
  <c r="E32" i="20" s="1"/>
  <c r="E27" i="20" s="1"/>
  <c r="E12" i="20"/>
  <c r="E33" i="110"/>
  <c r="E32" i="110" s="1"/>
  <c r="E27" i="110" s="1"/>
  <c r="E12" i="110"/>
  <c r="E33" i="41"/>
  <c r="E32" i="41" s="1"/>
  <c r="E27" i="41" s="1"/>
  <c r="E12" i="41"/>
  <c r="E33" i="177"/>
  <c r="E32" i="177" s="1"/>
  <c r="E27" i="177" s="1"/>
  <c r="E12" i="177"/>
  <c r="E33" i="109"/>
  <c r="E32" i="109" s="1"/>
  <c r="E27" i="109" s="1"/>
  <c r="E12" i="109"/>
  <c r="E12" i="134"/>
  <c r="E33" i="133"/>
  <c r="E32" i="133" s="1"/>
  <c r="E27" i="133" s="1"/>
  <c r="E12" i="133"/>
  <c r="E33" i="143"/>
  <c r="E32" i="143" s="1"/>
  <c r="E27" i="143" s="1"/>
  <c r="E12" i="143"/>
  <c r="E33" i="101"/>
  <c r="E32" i="101" s="1"/>
  <c r="E27" i="101" s="1"/>
  <c r="E12" i="101"/>
  <c r="E33" i="25"/>
  <c r="E32" i="25" s="1"/>
  <c r="E27" i="25" s="1"/>
  <c r="E12" i="25"/>
  <c r="E33" i="23"/>
  <c r="E32" i="23" s="1"/>
  <c r="E27" i="23" s="1"/>
  <c r="E12" i="23"/>
  <c r="E33" i="38"/>
  <c r="E32" i="38" s="1"/>
  <c r="E27" i="38" s="1"/>
  <c r="E12" i="38"/>
  <c r="E33" i="128"/>
  <c r="E32" i="128" s="1"/>
  <c r="E27" i="128" s="1"/>
  <c r="E12" i="128"/>
  <c r="E12" i="213"/>
  <c r="E33" i="76"/>
  <c r="E32" i="76" s="1"/>
  <c r="E27" i="76" s="1"/>
  <c r="E12" i="76"/>
  <c r="E33" i="90"/>
  <c r="E32" i="90" s="1"/>
  <c r="E27" i="90" s="1"/>
  <c r="E12" i="90"/>
  <c r="E33" i="37"/>
  <c r="E32" i="37" s="1"/>
  <c r="E27" i="37" s="1"/>
  <c r="E12" i="37"/>
  <c r="E12" i="75"/>
  <c r="E12" i="72"/>
  <c r="E12" i="71"/>
  <c r="E12" i="70"/>
  <c r="E12" i="27"/>
  <c r="E33" i="47"/>
  <c r="E32" i="47" s="1"/>
  <c r="E27" i="47" s="1"/>
  <c r="E12" i="47"/>
  <c r="E33" i="153"/>
  <c r="E32" i="153" s="1"/>
  <c r="E27" i="153" s="1"/>
  <c r="E12" i="153"/>
  <c r="E33" i="35"/>
  <c r="E32" i="35" s="1"/>
  <c r="E27" i="35" s="1"/>
  <c r="E12" i="35"/>
  <c r="E33" i="186"/>
  <c r="E32" i="186" s="1"/>
  <c r="E27" i="186" s="1"/>
  <c r="E12" i="186"/>
  <c r="E33" i="56" l="1"/>
  <c r="E32" i="56" s="1"/>
  <c r="E27" i="56" s="1"/>
  <c r="E33" i="189"/>
  <c r="E32" i="189" s="1"/>
  <c r="E27" i="189" s="1"/>
  <c r="E12" i="189"/>
  <c r="E33" i="55"/>
  <c r="E32" i="55" s="1"/>
  <c r="E27" i="55" s="1"/>
  <c r="E12" i="55"/>
  <c r="E33" i="57"/>
  <c r="E32" i="57" s="1"/>
  <c r="E27" i="57" s="1"/>
  <c r="E12" i="57" l="1"/>
  <c r="E33" i="124"/>
  <c r="E32" i="124" s="1"/>
  <c r="E27" i="124" s="1"/>
  <c r="E12" i="124"/>
  <c r="E33" i="33"/>
  <c r="E32" i="33" s="1"/>
  <c r="E27" i="33" s="1"/>
  <c r="E12" i="33"/>
  <c r="E33" i="196" l="1"/>
  <c r="E32" i="196" s="1"/>
  <c r="E27" i="196" s="1"/>
  <c r="E12" i="196"/>
  <c r="E33" i="83"/>
  <c r="E32" i="83" s="1"/>
  <c r="E27" i="83" s="1"/>
  <c r="E12" i="83"/>
  <c r="E33" i="48"/>
  <c r="E32" i="48" s="1"/>
  <c r="E27" i="48" s="1"/>
  <c r="E12" i="48"/>
  <c r="E33" i="28" l="1"/>
  <c r="E32" i="28" s="1"/>
  <c r="E27" i="28" s="1"/>
  <c r="E12" i="28"/>
  <c r="E32" i="13"/>
  <c r="E27" i="13" s="1"/>
  <c r="E33" i="13"/>
  <c r="E12" i="13"/>
  <c r="E33" i="8"/>
  <c r="E32" i="8" s="1"/>
  <c r="E27" i="8" s="1"/>
  <c r="E12" i="8"/>
  <c r="E33" i="7"/>
  <c r="E32" i="7" s="1"/>
  <c r="E27" i="7" s="1"/>
  <c r="E12" i="7"/>
  <c r="D64" i="7" s="1"/>
  <c r="E33" i="6"/>
  <c r="E32" i="6" s="1"/>
  <c r="E27" i="6" s="1"/>
  <c r="E12" i="6"/>
  <c r="E32" i="95"/>
  <c r="E27" i="95" s="1"/>
  <c r="E33" i="95"/>
  <c r="E12" i="95"/>
  <c r="E32" i="93"/>
  <c r="E27" i="93" s="1"/>
  <c r="E33" i="93"/>
  <c r="E33" i="53"/>
  <c r="E32" i="53" s="1"/>
  <c r="E27" i="53" s="1"/>
  <c r="E32" i="67"/>
  <c r="E27" i="67" s="1"/>
  <c r="E33" i="67"/>
  <c r="E12" i="67"/>
  <c r="E32" i="69"/>
  <c r="E27" i="69" s="1"/>
  <c r="E33" i="69"/>
  <c r="E12" i="69"/>
  <c r="E33" i="120"/>
  <c r="E32" i="120" s="1"/>
  <c r="E27" i="120" s="1"/>
  <c r="E12" i="120"/>
  <c r="E12" i="122"/>
  <c r="E33" i="78"/>
  <c r="E32" i="78" s="1"/>
  <c r="E27" i="78" s="1"/>
  <c r="E12" i="78"/>
  <c r="E33" i="81"/>
  <c r="E32" i="81" s="1"/>
  <c r="E27" i="81" s="1"/>
  <c r="E12" i="81"/>
  <c r="E32" i="17"/>
  <c r="E27" i="17" s="1"/>
  <c r="E33" i="17"/>
  <c r="E12" i="17"/>
  <c r="E33" i="16"/>
  <c r="E32" i="16" s="1"/>
  <c r="E27" i="16" s="1"/>
  <c r="E12" i="16"/>
  <c r="E32" i="11"/>
  <c r="E27" i="11" s="1"/>
  <c r="E33" i="11"/>
  <c r="E12" i="11"/>
  <c r="E33" i="10"/>
  <c r="E32" i="10"/>
  <c r="E27" i="10" s="1"/>
  <c r="E12" i="10"/>
  <c r="E32" i="5"/>
  <c r="E27" i="5" s="1"/>
  <c r="E33" i="5"/>
  <c r="E12" i="5"/>
  <c r="E33" i="4"/>
  <c r="E32" i="4" s="1"/>
  <c r="E27" i="4" s="1"/>
  <c r="E12" i="4"/>
  <c r="E33" i="194"/>
  <c r="E32" i="194"/>
  <c r="E27" i="194" s="1"/>
  <c r="E12" i="194"/>
  <c r="E33" i="1"/>
  <c r="E32" i="1" s="1"/>
  <c r="E27" i="1" s="1"/>
  <c r="E12" i="1"/>
  <c r="E50" i="9" l="1"/>
  <c r="E14" i="95"/>
  <c r="E11" i="95" s="1"/>
  <c r="E26" i="84" l="1"/>
  <c r="E41" i="84" s="1"/>
  <c r="E18" i="80" l="1"/>
  <c r="E41" i="216" l="1"/>
  <c r="E74" i="228" l="1"/>
  <c r="E75" i="228" s="1"/>
  <c r="D72" i="228"/>
  <c r="E64" i="228"/>
  <c r="E26" i="228"/>
  <c r="E41" i="228" s="1"/>
  <c r="E11" i="228"/>
  <c r="E21" i="228" s="1"/>
  <c r="D64" i="228" s="1"/>
  <c r="D58" i="228" s="1"/>
  <c r="D74" i="228" s="1"/>
  <c r="D75" i="228" s="1"/>
  <c r="D72" i="227"/>
  <c r="E26" i="227"/>
  <c r="E41" i="227" s="1"/>
  <c r="E11" i="227"/>
  <c r="E21" i="227" s="1"/>
  <c r="D64" i="227" l="1"/>
  <c r="D58" i="227" s="1"/>
  <c r="D74" i="227" l="1"/>
  <c r="D75" i="227" s="1"/>
  <c r="E58" i="227"/>
  <c r="E64" i="227" l="1"/>
  <c r="E74" i="227"/>
  <c r="E75" i="227" s="1"/>
  <c r="D72" i="226" l="1"/>
  <c r="E26" i="226"/>
  <c r="E41" i="226" s="1"/>
  <c r="E11" i="226"/>
  <c r="E21" i="226" s="1"/>
  <c r="D64" i="226" l="1"/>
  <c r="D58" i="226" s="1"/>
  <c r="E11" i="151"/>
  <c r="D74" i="226" l="1"/>
  <c r="D75" i="226" s="1"/>
  <c r="E58" i="226"/>
  <c r="E74" i="226" l="1"/>
  <c r="E75" i="226" s="1"/>
  <c r="E64" i="226"/>
  <c r="D64" i="6" l="1"/>
  <c r="D64" i="95"/>
  <c r="E11" i="9" l="1"/>
  <c r="E11" i="7"/>
  <c r="E14" i="93" l="1"/>
  <c r="E11" i="93" s="1"/>
  <c r="E26" i="218" l="1"/>
  <c r="D17" i="4" l="1"/>
  <c r="D14" i="4"/>
  <c r="D11" i="4" s="1"/>
  <c r="D21" i="4" s="1"/>
  <c r="E26" i="4" s="1"/>
  <c r="D12" i="4"/>
  <c r="D17" i="194"/>
  <c r="D14" i="194"/>
  <c r="D12" i="194"/>
  <c r="D11" i="194"/>
  <c r="D21" i="194" s="1"/>
  <c r="D17" i="1"/>
  <c r="D14" i="1"/>
  <c r="D12" i="1"/>
  <c r="D11" i="1" l="1"/>
  <c r="D21" i="1" s="1"/>
  <c r="D72" i="224" l="1"/>
  <c r="E26" i="224"/>
  <c r="E41" i="224" s="1"/>
  <c r="E11" i="224"/>
  <c r="E21" i="224" s="1"/>
  <c r="E26" i="223"/>
  <c r="E41" i="223" s="1"/>
  <c r="D72" i="223"/>
  <c r="E11" i="223"/>
  <c r="E21" i="223" s="1"/>
  <c r="D64" i="224" l="1"/>
  <c r="D58" i="224" s="1"/>
  <c r="D74" i="224"/>
  <c r="D76" i="224" s="1"/>
  <c r="E58" i="224"/>
  <c r="E64" i="224" l="1"/>
  <c r="E74" i="224"/>
  <c r="E76" i="224" s="1"/>
  <c r="E74" i="223" l="1"/>
  <c r="E75" i="223" s="1"/>
  <c r="E64" i="223"/>
  <c r="D64" i="8" l="1"/>
  <c r="D71" i="84" l="1"/>
  <c r="E26" i="219" l="1"/>
  <c r="E26" i="220"/>
  <c r="E41" i="220" s="1"/>
  <c r="E26" i="96" l="1"/>
  <c r="D72" i="220" l="1"/>
  <c r="E11" i="220"/>
  <c r="E21" i="220" s="1"/>
  <c r="D72" i="219"/>
  <c r="E11" i="219"/>
  <c r="E21" i="219" s="1"/>
  <c r="D72" i="218"/>
  <c r="E41" i="218"/>
  <c r="E11" i="218"/>
  <c r="E21" i="218" s="1"/>
  <c r="D64" i="219" l="1"/>
  <c r="D58" i="219" s="1"/>
  <c r="D64" i="218"/>
  <c r="D58" i="218" s="1"/>
  <c r="D74" i="218" s="1"/>
  <c r="D76" i="218" s="1"/>
  <c r="D64" i="220"/>
  <c r="D58" i="220" s="1"/>
  <c r="D74" i="219" l="1"/>
  <c r="D75" i="219" s="1"/>
  <c r="E58" i="218"/>
  <c r="D74" i="220"/>
  <c r="D75" i="220" s="1"/>
  <c r="E58" i="220"/>
  <c r="E74" i="219"/>
  <c r="E75" i="219" s="1"/>
  <c r="E74" i="218"/>
  <c r="E76" i="218" s="1"/>
  <c r="E64" i="218"/>
  <c r="E74" i="220" l="1"/>
  <c r="E75" i="220" s="1"/>
  <c r="E64" i="220"/>
  <c r="E26" i="215" l="1"/>
  <c r="E41" i="215" s="1"/>
  <c r="E26" i="145"/>
  <c r="E41" i="145" s="1"/>
  <c r="E26" i="211"/>
  <c r="E41" i="211" s="1"/>
  <c r="E26" i="196"/>
  <c r="E41" i="196" s="1"/>
  <c r="E26" i="188"/>
  <c r="E41" i="188" s="1"/>
  <c r="D71" i="8"/>
  <c r="E26" i="217"/>
  <c r="E26" i="199"/>
  <c r="E23" i="80" l="1"/>
  <c r="E26" i="209"/>
  <c r="E41" i="209" s="1"/>
  <c r="E17" i="1"/>
  <c r="E17" i="194"/>
  <c r="E17" i="4"/>
  <c r="E17" i="5"/>
  <c r="E17" i="10"/>
  <c r="D73" i="10" s="1"/>
  <c r="E17" i="11"/>
  <c r="D73" i="11" s="1"/>
  <c r="E17" i="16"/>
  <c r="E17" i="17"/>
  <c r="D73" i="17" s="1"/>
  <c r="E17" i="81"/>
  <c r="E17" i="78"/>
  <c r="E17" i="122"/>
  <c r="E17" i="120"/>
  <c r="E17" i="69"/>
  <c r="D73" i="69" s="1"/>
  <c r="E17" i="67"/>
  <c r="E17" i="53"/>
  <c r="E17" i="95"/>
  <c r="E21" i="95" s="1"/>
  <c r="E17" i="6"/>
  <c r="E17" i="7"/>
  <c r="D73" i="7" s="1"/>
  <c r="D64" i="48"/>
  <c r="D73" i="48"/>
  <c r="D64" i="196"/>
  <c r="D73" i="196"/>
  <c r="D64" i="70"/>
  <c r="D73" i="70"/>
  <c r="D64" i="71"/>
  <c r="D58" i="71" s="1"/>
  <c r="D73" i="71"/>
  <c r="D64" i="72"/>
  <c r="D73" i="72"/>
  <c r="D64" i="73"/>
  <c r="D58" i="73" s="1"/>
  <c r="D73" i="73"/>
  <c r="D64" i="74"/>
  <c r="D73" i="74"/>
  <c r="D64" i="55"/>
  <c r="D58" i="55" s="1"/>
  <c r="D73" i="55"/>
  <c r="D64" i="37"/>
  <c r="D73" i="37"/>
  <c r="D64" i="90"/>
  <c r="D58" i="90" s="1"/>
  <c r="D73" i="90"/>
  <c r="D64" i="153"/>
  <c r="D73" i="153"/>
  <c r="D64" i="23"/>
  <c r="D73" i="23"/>
  <c r="D64" i="143"/>
  <c r="D58" i="143" s="1"/>
  <c r="D73" i="143"/>
  <c r="D64" i="134"/>
  <c r="D58" i="134" s="1"/>
  <c r="D73" i="134"/>
  <c r="D64" i="177"/>
  <c r="D73" i="177"/>
  <c r="D64" i="110"/>
  <c r="D73" i="110"/>
  <c r="D64" i="20"/>
  <c r="D73" i="20"/>
  <c r="E11" i="215"/>
  <c r="E21" i="215" s="1"/>
  <c r="E11" i="130"/>
  <c r="E21" i="130" s="1"/>
  <c r="E41" i="96"/>
  <c r="E26" i="214"/>
  <c r="E41" i="214" s="1"/>
  <c r="E41" i="217"/>
  <c r="E41" i="199"/>
  <c r="E14" i="8"/>
  <c r="E11" i="8" s="1"/>
  <c r="D73" i="217"/>
  <c r="D72" i="217"/>
  <c r="D71" i="217"/>
  <c r="E11" i="217"/>
  <c r="E21" i="217" s="1"/>
  <c r="E11" i="94"/>
  <c r="E11" i="53"/>
  <c r="D71" i="4"/>
  <c r="D71" i="5"/>
  <c r="D71" i="10"/>
  <c r="D71" i="11"/>
  <c r="D71" i="16"/>
  <c r="D71" i="17"/>
  <c r="D71" i="81"/>
  <c r="D71" i="78"/>
  <c r="D71" i="79"/>
  <c r="D71" i="122"/>
  <c r="D71" i="121"/>
  <c r="D71" i="120"/>
  <c r="D71" i="69"/>
  <c r="D71" i="67"/>
  <c r="D71" i="53"/>
  <c r="D71" i="94"/>
  <c r="D71" i="93"/>
  <c r="D71" i="199"/>
  <c r="D71" i="194"/>
  <c r="D72" i="216"/>
  <c r="E11" i="216"/>
  <c r="E21" i="216" s="1"/>
  <c r="D72" i="215"/>
  <c r="D72" i="214"/>
  <c r="E11" i="214"/>
  <c r="E21" i="214" s="1"/>
  <c r="D72" i="213"/>
  <c r="E26" i="213"/>
  <c r="E41" i="213" s="1"/>
  <c r="E11" i="213"/>
  <c r="E21" i="213" s="1"/>
  <c r="D72" i="212"/>
  <c r="E26" i="212"/>
  <c r="E41" i="212" s="1"/>
  <c r="E11" i="212"/>
  <c r="E21" i="212" s="1"/>
  <c r="D72" i="211"/>
  <c r="E11" i="211"/>
  <c r="E21" i="211" s="1"/>
  <c r="D72" i="210"/>
  <c r="E26" i="210"/>
  <c r="E41" i="210" s="1"/>
  <c r="E11" i="210"/>
  <c r="E21" i="210" s="1"/>
  <c r="D72" i="209"/>
  <c r="E11" i="209"/>
  <c r="E21" i="209" s="1"/>
  <c r="E26" i="151"/>
  <c r="E41" i="151" s="1"/>
  <c r="E26" i="107"/>
  <c r="E41" i="107" s="1"/>
  <c r="E26" i="205"/>
  <c r="E41" i="205" s="1"/>
  <c r="D72" i="206"/>
  <c r="E26" i="206"/>
  <c r="E11" i="206"/>
  <c r="E21" i="206" s="1"/>
  <c r="D72" i="204"/>
  <c r="E26" i="204"/>
  <c r="E11" i="204"/>
  <c r="E21" i="204" s="1"/>
  <c r="D72" i="205"/>
  <c r="E11" i="205"/>
  <c r="E21" i="205" s="1"/>
  <c r="D72" i="201"/>
  <c r="E26" i="201"/>
  <c r="E41" i="201" s="1"/>
  <c r="E11" i="201"/>
  <c r="E21" i="201" s="1"/>
  <c r="D72" i="202"/>
  <c r="E26" i="202"/>
  <c r="E41" i="202" s="1"/>
  <c r="E11" i="202"/>
  <c r="E21" i="202" s="1"/>
  <c r="E11" i="107"/>
  <c r="E21" i="107" s="1"/>
  <c r="E11" i="152"/>
  <c r="E21" i="152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56"/>
  <c r="E21" i="56" s="1"/>
  <c r="E11" i="24"/>
  <c r="E21" i="24" s="1"/>
  <c r="E11" i="149"/>
  <c r="E21" i="149" s="1"/>
  <c r="E11" i="148"/>
  <c r="E21" i="148" s="1"/>
  <c r="E11" i="186"/>
  <c r="E21" i="186" s="1"/>
  <c r="E11" i="35"/>
  <c r="E21" i="35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14"/>
  <c r="E21" i="11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90"/>
  <c r="E21" i="190" s="1"/>
  <c r="E11" i="165"/>
  <c r="E21" i="165" s="1"/>
  <c r="E11" i="166"/>
  <c r="E21" i="166" s="1"/>
  <c r="E11" i="171"/>
  <c r="E21" i="171" s="1"/>
  <c r="E11" i="38"/>
  <c r="E21" i="38" s="1"/>
  <c r="E11" i="23"/>
  <c r="E11" i="25"/>
  <c r="E21" i="25" s="1"/>
  <c r="E11" i="173"/>
  <c r="E21" i="173" s="1"/>
  <c r="E11" i="174"/>
  <c r="E21" i="174" s="1"/>
  <c r="E11" i="39"/>
  <c r="E21" i="39" s="1"/>
  <c r="E11" i="100"/>
  <c r="E21" i="100" s="1"/>
  <c r="E11" i="99"/>
  <c r="E21" i="99" s="1"/>
  <c r="E11" i="101"/>
  <c r="E21" i="101" s="1"/>
  <c r="E11" i="118"/>
  <c r="E21" i="118" s="1"/>
  <c r="E11" i="143"/>
  <c r="E21" i="143" s="1"/>
  <c r="E11" i="119"/>
  <c r="E21" i="119" s="1"/>
  <c r="E11" i="144"/>
  <c r="E21" i="144" s="1"/>
  <c r="E11" i="145"/>
  <c r="E21" i="145" s="1"/>
  <c r="E11" i="117"/>
  <c r="E21" i="117" s="1"/>
  <c r="E21" i="116"/>
  <c r="D58" i="116"/>
  <c r="D75" i="116"/>
  <c r="E11" i="142"/>
  <c r="E21" i="142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34"/>
  <c r="E21" i="134" s="1"/>
  <c r="E11" i="113"/>
  <c r="E21" i="113" s="1"/>
  <c r="E11" i="140"/>
  <c r="E21" i="140" s="1"/>
  <c r="E11" i="175"/>
  <c r="E21" i="175" s="1"/>
  <c r="E11" i="141"/>
  <c r="E21" i="141" s="1"/>
  <c r="E11" i="176"/>
  <c r="E21" i="17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65"/>
  <c r="E21" i="65" s="1"/>
  <c r="E11" i="191"/>
  <c r="E21" i="191" s="1"/>
  <c r="E21" i="151"/>
  <c r="E11" i="96"/>
  <c r="E21" i="96" s="1"/>
  <c r="D58" i="20"/>
  <c r="D58" i="110"/>
  <c r="D58" i="177"/>
  <c r="D58" i="23"/>
  <c r="D58" i="37"/>
  <c r="D58" i="74"/>
  <c r="D58" i="72"/>
  <c r="D74" i="72" s="1"/>
  <c r="D58" i="70"/>
  <c r="D74" i="70" s="1"/>
  <c r="D58" i="153"/>
  <c r="D72" i="200"/>
  <c r="E21" i="200"/>
  <c r="E11" i="200"/>
  <c r="E26" i="200"/>
  <c r="D58" i="84"/>
  <c r="E17" i="84"/>
  <c r="D73" i="84" s="1"/>
  <c r="E11" i="84"/>
  <c r="D58" i="60"/>
  <c r="E17" i="60"/>
  <c r="D73" i="60" s="1"/>
  <c r="E11" i="60"/>
  <c r="D58" i="61"/>
  <c r="E11" i="61"/>
  <c r="E17" i="61"/>
  <c r="D73" i="61" s="1"/>
  <c r="D58" i="58"/>
  <c r="E11" i="58"/>
  <c r="E17" i="58"/>
  <c r="D73" i="58" s="1"/>
  <c r="D58" i="13"/>
  <c r="E11" i="13"/>
  <c r="E17" i="13"/>
  <c r="D73" i="13" s="1"/>
  <c r="D64" i="9"/>
  <c r="E17" i="9"/>
  <c r="D73" i="9" s="1"/>
  <c r="D58" i="8"/>
  <c r="E17" i="8"/>
  <c r="D73" i="8" s="1"/>
  <c r="D58" i="6"/>
  <c r="E11" i="6"/>
  <c r="D73" i="6"/>
  <c r="D71" i="95"/>
  <c r="D58" i="95"/>
  <c r="D72" i="199"/>
  <c r="D58" i="199"/>
  <c r="D73" i="199"/>
  <c r="E11" i="199"/>
  <c r="E21" i="199" s="1"/>
  <c r="D72" i="198"/>
  <c r="E26" i="198"/>
  <c r="E41" i="198" s="1"/>
  <c r="E11" i="198"/>
  <c r="E21" i="198" s="1"/>
  <c r="D72" i="197"/>
  <c r="E26" i="197"/>
  <c r="E41" i="197" s="1"/>
  <c r="E11" i="197"/>
  <c r="E21" i="197" s="1"/>
  <c r="D72" i="196"/>
  <c r="E11" i="196"/>
  <c r="E21" i="196" s="1"/>
  <c r="D72" i="195"/>
  <c r="E26" i="195"/>
  <c r="E41" i="195" s="1"/>
  <c r="E11" i="195"/>
  <c r="E21" i="195" s="1"/>
  <c r="E21" i="6"/>
  <c r="D58" i="196"/>
  <c r="D74" i="196" s="1"/>
  <c r="D73" i="95"/>
  <c r="E11" i="188"/>
  <c r="E21" i="188" s="1"/>
  <c r="E11" i="42"/>
  <c r="E21" i="42" s="1"/>
  <c r="D58" i="93"/>
  <c r="E17" i="93"/>
  <c r="E21" i="93" s="1"/>
  <c r="D58" i="94"/>
  <c r="E17" i="94"/>
  <c r="D73" i="94" s="1"/>
  <c r="D58" i="53"/>
  <c r="D73" i="53"/>
  <c r="D58" i="67"/>
  <c r="D73" i="67"/>
  <c r="E14" i="67"/>
  <c r="E11" i="67" s="1"/>
  <c r="E21" i="67" s="1"/>
  <c r="D58" i="69"/>
  <c r="E14" i="69"/>
  <c r="E11" i="69" s="1"/>
  <c r="E21" i="69" s="1"/>
  <c r="D58" i="120"/>
  <c r="D73" i="120"/>
  <c r="E14" i="120"/>
  <c r="E11" i="120" s="1"/>
  <c r="E21" i="120" s="1"/>
  <c r="D58" i="10"/>
  <c r="D58" i="11"/>
  <c r="D58" i="16"/>
  <c r="D58" i="17"/>
  <c r="D58" i="81"/>
  <c r="D58" i="78"/>
  <c r="D58" i="79"/>
  <c r="D58" i="122"/>
  <c r="D58" i="121"/>
  <c r="D58" i="5"/>
  <c r="D73" i="16"/>
  <c r="D73" i="81"/>
  <c r="D73" i="78"/>
  <c r="E17" i="79"/>
  <c r="D73" i="79" s="1"/>
  <c r="D73" i="122"/>
  <c r="E17" i="121"/>
  <c r="D73" i="121" s="1"/>
  <c r="D73" i="5"/>
  <c r="E14" i="10"/>
  <c r="D72" i="10" s="1"/>
  <c r="E14" i="11"/>
  <c r="D72" i="11" s="1"/>
  <c r="E14" i="16"/>
  <c r="D72" i="16" s="1"/>
  <c r="E14" i="17"/>
  <c r="E11" i="17" s="1"/>
  <c r="E14" i="81"/>
  <c r="E11" i="81" s="1"/>
  <c r="E21" i="81" s="1"/>
  <c r="E14" i="78"/>
  <c r="D72" i="78" s="1"/>
  <c r="E14" i="79"/>
  <c r="D72" i="79" s="1"/>
  <c r="E14" i="122"/>
  <c r="D72" i="122" s="1"/>
  <c r="E14" i="121"/>
  <c r="D72" i="121" s="1"/>
  <c r="E14" i="5"/>
  <c r="D72" i="5" s="1"/>
  <c r="D58" i="4"/>
  <c r="D73" i="4"/>
  <c r="E14" i="4"/>
  <c r="E11" i="4" s="1"/>
  <c r="E21" i="4" s="1"/>
  <c r="D58" i="194"/>
  <c r="E14" i="194"/>
  <c r="E11" i="194" s="1"/>
  <c r="E21" i="194" s="1"/>
  <c r="E21" i="53"/>
  <c r="D73" i="194"/>
  <c r="D58" i="1"/>
  <c r="E14" i="1"/>
  <c r="E11" i="97"/>
  <c r="E21" i="97" s="1"/>
  <c r="E21" i="112"/>
  <c r="E11" i="112"/>
  <c r="E21" i="156"/>
  <c r="E11" i="156"/>
  <c r="E21" i="83"/>
  <c r="E11" i="83"/>
  <c r="E21" i="30"/>
  <c r="E11" i="30"/>
  <c r="E11" i="48"/>
  <c r="E11" i="29"/>
  <c r="E21" i="29" s="1"/>
  <c r="E11" i="49"/>
  <c r="E21" i="49" s="1"/>
  <c r="E11" i="22"/>
  <c r="E21" i="22" s="1"/>
  <c r="E11" i="28"/>
  <c r="E21" i="28" s="1"/>
  <c r="D58" i="48"/>
  <c r="D64" i="30"/>
  <c r="D58" i="30" s="1"/>
  <c r="E11" i="14"/>
  <c r="E21" i="14" s="1"/>
  <c r="D72" i="191"/>
  <c r="E26" i="191"/>
  <c r="E41" i="191" s="1"/>
  <c r="D72" i="65"/>
  <c r="E26" i="65"/>
  <c r="D72" i="63"/>
  <c r="E26" i="63"/>
  <c r="E41" i="63" s="1"/>
  <c r="D72" i="105"/>
  <c r="D72" i="26"/>
  <c r="E26" i="26"/>
  <c r="E41" i="26" s="1"/>
  <c r="D72" i="62"/>
  <c r="E26" i="62"/>
  <c r="E41" i="62" s="1"/>
  <c r="D72" i="20"/>
  <c r="E26" i="20"/>
  <c r="E41" i="20" s="1"/>
  <c r="D72" i="110"/>
  <c r="E26" i="110"/>
  <c r="E41" i="110" s="1"/>
  <c r="D72" i="64"/>
  <c r="E26" i="64"/>
  <c r="E41" i="64" s="1"/>
  <c r="D72" i="40"/>
  <c r="E26" i="40"/>
  <c r="E41" i="40" s="1"/>
  <c r="D72" i="41"/>
  <c r="E26" i="41"/>
  <c r="E41" i="41" s="1"/>
  <c r="D72" i="177"/>
  <c r="E26" i="177"/>
  <c r="D72" i="187"/>
  <c r="E26" i="187"/>
  <c r="E41" i="187" s="1"/>
  <c r="D72" i="108"/>
  <c r="E26" i="108"/>
  <c r="E41" i="108" s="1"/>
  <c r="D72" i="109"/>
  <c r="D72" i="159"/>
  <c r="E26" i="159"/>
  <c r="E41" i="159" s="1"/>
  <c r="D72" i="176"/>
  <c r="D72" i="141"/>
  <c r="E26" i="141"/>
  <c r="D72" i="175"/>
  <c r="E26" i="175"/>
  <c r="E41" i="175" s="1"/>
  <c r="D72" i="140"/>
  <c r="E26" i="140"/>
  <c r="E41" i="140" s="1"/>
  <c r="D72" i="113"/>
  <c r="E26" i="113"/>
  <c r="E41" i="113" s="1"/>
  <c r="D72" i="134"/>
  <c r="E26" i="134"/>
  <c r="E41" i="134" s="1"/>
  <c r="D72" i="135"/>
  <c r="E26" i="135"/>
  <c r="E41" i="135" s="1"/>
  <c r="D72" i="132"/>
  <c r="E26" i="132"/>
  <c r="D72" i="133"/>
  <c r="E26" i="133"/>
  <c r="E41" i="133" s="1"/>
  <c r="D72" i="146"/>
  <c r="E26" i="146"/>
  <c r="E41" i="146" s="1"/>
  <c r="D72" i="179"/>
  <c r="E26" i="179"/>
  <c r="D72" i="147"/>
  <c r="D72" i="142"/>
  <c r="E26" i="142"/>
  <c r="E41" i="142" s="1"/>
  <c r="E74" i="116"/>
  <c r="E75" i="116" s="1"/>
  <c r="D72" i="116"/>
  <c r="E26" i="116"/>
  <c r="D72" i="117"/>
  <c r="E26" i="117"/>
  <c r="D72" i="145"/>
  <c r="D72" i="144"/>
  <c r="E26" i="144"/>
  <c r="E41" i="144" s="1"/>
  <c r="D72" i="119"/>
  <c r="E26" i="119"/>
  <c r="D72" i="143"/>
  <c r="D72" i="118"/>
  <c r="D72" i="101"/>
  <c r="E26" i="101"/>
  <c r="E41" i="101" s="1"/>
  <c r="D72" i="99"/>
  <c r="E26" i="99"/>
  <c r="E41" i="99" s="1"/>
  <c r="D72" i="100"/>
  <c r="E26" i="100"/>
  <c r="E41" i="100" s="1"/>
  <c r="D72" i="39"/>
  <c r="E26" i="39"/>
  <c r="E41" i="39" s="1"/>
  <c r="D72" i="130"/>
  <c r="D72" i="174"/>
  <c r="D72" i="173"/>
  <c r="E26" i="173"/>
  <c r="E41" i="173" s="1"/>
  <c r="D72" i="25"/>
  <c r="E26" i="25"/>
  <c r="E41" i="25" s="1"/>
  <c r="D72" i="23"/>
  <c r="E26" i="23"/>
  <c r="E41" i="23" s="1"/>
  <c r="D72" i="38"/>
  <c r="E26" i="38"/>
  <c r="E41" i="38" s="1"/>
  <c r="D72" i="171"/>
  <c r="E26" i="171"/>
  <c r="E41" i="171" s="1"/>
  <c r="D72" i="166"/>
  <c r="D72" i="165"/>
  <c r="E26" i="165"/>
  <c r="E41" i="165" s="1"/>
  <c r="E75" i="190"/>
  <c r="D72" i="190"/>
  <c r="E26" i="190"/>
  <c r="D72" i="170"/>
  <c r="D72" i="104"/>
  <c r="D72" i="102"/>
  <c r="D72" i="103"/>
  <c r="E26" i="103"/>
  <c r="E41" i="103" s="1"/>
  <c r="D72" i="85"/>
  <c r="E26" i="85"/>
  <c r="E41" i="85" s="1"/>
  <c r="D72" i="128"/>
  <c r="E26" i="128"/>
  <c r="E41" i="128" s="1"/>
  <c r="D72" i="89"/>
  <c r="E26" i="89"/>
  <c r="D72" i="46"/>
  <c r="D72" i="169"/>
  <c r="E26" i="169"/>
  <c r="E41" i="169" s="1"/>
  <c r="D72" i="168"/>
  <c r="E26" i="168"/>
  <c r="D72" i="129"/>
  <c r="D72" i="167"/>
  <c r="E26" i="167"/>
  <c r="E41" i="167" s="1"/>
  <c r="D72" i="88"/>
  <c r="E26" i="88"/>
  <c r="D72" i="193"/>
  <c r="E26" i="193"/>
  <c r="E41" i="193" s="1"/>
  <c r="D72" i="114"/>
  <c r="D72" i="164"/>
  <c r="D72" i="163"/>
  <c r="E26" i="163"/>
  <c r="E41" i="163" s="1"/>
  <c r="D72" i="137"/>
  <c r="E26" i="137"/>
  <c r="E41" i="137" s="1"/>
  <c r="D72" i="136"/>
  <c r="E26" i="136"/>
  <c r="E41" i="136" s="1"/>
  <c r="D72" i="138"/>
  <c r="D72" i="76"/>
  <c r="E26" i="76"/>
  <c r="E41" i="76" s="1"/>
  <c r="D72" i="90"/>
  <c r="E26" i="90"/>
  <c r="E41" i="90" s="1"/>
  <c r="D72" i="92"/>
  <c r="E26" i="92"/>
  <c r="E41" i="92" s="1"/>
  <c r="D72" i="115"/>
  <c r="E26" i="115"/>
  <c r="E41" i="115" s="1"/>
  <c r="D72" i="161"/>
  <c r="E26" i="161"/>
  <c r="E41" i="161" s="1"/>
  <c r="D72" i="37"/>
  <c r="E26" i="37"/>
  <c r="E41" i="37" s="1"/>
  <c r="D72" i="36"/>
  <c r="E26" i="36"/>
  <c r="E41" i="36" s="1"/>
  <c r="D72" i="77"/>
  <c r="E26" i="77"/>
  <c r="E41" i="77" s="1"/>
  <c r="D72" i="75"/>
  <c r="D72" i="74"/>
  <c r="E26" i="74"/>
  <c r="E41" i="74" s="1"/>
  <c r="D72" i="73"/>
  <c r="E26" i="73"/>
  <c r="E41" i="73" s="1"/>
  <c r="D72" i="72"/>
  <c r="E26" i="72"/>
  <c r="D72" i="71"/>
  <c r="E26" i="71"/>
  <c r="E26" i="70"/>
  <c r="D72" i="27"/>
  <c r="E26" i="27"/>
  <c r="D72" i="47"/>
  <c r="E26" i="47"/>
  <c r="E41" i="47" s="1"/>
  <c r="D72" i="153"/>
  <c r="E26" i="153"/>
  <c r="E41" i="153" s="1"/>
  <c r="D72" i="35"/>
  <c r="E26" i="35"/>
  <c r="E41" i="35" s="1"/>
  <c r="D72" i="186"/>
  <c r="E26" i="186"/>
  <c r="E41" i="186" s="1"/>
  <c r="D72" i="148"/>
  <c r="E26" i="148"/>
  <c r="D72" i="149"/>
  <c r="E26" i="149"/>
  <c r="E41" i="149" s="1"/>
  <c r="D72" i="24"/>
  <c r="E26" i="24"/>
  <c r="E41" i="24" s="1"/>
  <c r="D72" i="56"/>
  <c r="E26" i="56"/>
  <c r="E41" i="56" s="1"/>
  <c r="D72" i="189"/>
  <c r="E26" i="189"/>
  <c r="E41" i="189" s="1"/>
  <c r="D72" i="43"/>
  <c r="E26" i="43"/>
  <c r="E41" i="43" s="1"/>
  <c r="D72" i="55"/>
  <c r="E26" i="55"/>
  <c r="E41" i="55" s="1"/>
  <c r="D72" i="57"/>
  <c r="E26" i="57"/>
  <c r="E41" i="57" s="1"/>
  <c r="D72" i="124"/>
  <c r="E26" i="124"/>
  <c r="E41" i="124" s="1"/>
  <c r="D72" i="34"/>
  <c r="E26" i="34"/>
  <c r="E41" i="34" s="1"/>
  <c r="E26" i="33"/>
  <c r="E41" i="33" s="1"/>
  <c r="D72" i="33"/>
  <c r="D72" i="123"/>
  <c r="E26" i="123"/>
  <c r="E41" i="123" s="1"/>
  <c r="D72" i="106"/>
  <c r="E26" i="106"/>
  <c r="E41" i="106" s="1"/>
  <c r="D72" i="152"/>
  <c r="E26" i="152"/>
  <c r="E41" i="152" s="1"/>
  <c r="D72" i="107"/>
  <c r="D72" i="151"/>
  <c r="D72" i="96"/>
  <c r="D72" i="97"/>
  <c r="E26" i="97"/>
  <c r="D72" i="112"/>
  <c r="E26" i="112"/>
  <c r="E41" i="112" s="1"/>
  <c r="D72" i="156"/>
  <c r="E26" i="156"/>
  <c r="E41" i="156" s="1"/>
  <c r="D72" i="188"/>
  <c r="D72" i="42"/>
  <c r="E26" i="42"/>
  <c r="E41" i="42" s="1"/>
  <c r="D72" i="83"/>
  <c r="E26" i="83"/>
  <c r="E41" i="83" s="1"/>
  <c r="D72" i="48"/>
  <c r="E26" i="48"/>
  <c r="E41" i="48" s="1"/>
  <c r="D72" i="30"/>
  <c r="E26" i="30"/>
  <c r="E41" i="30" s="1"/>
  <c r="D72" i="29"/>
  <c r="E26" i="29"/>
  <c r="E41" i="29" s="1"/>
  <c r="D72" i="49"/>
  <c r="E26" i="49"/>
  <c r="E41" i="49" s="1"/>
  <c r="D72" i="22"/>
  <c r="E26" i="22"/>
  <c r="E41" i="22" s="1"/>
  <c r="D72" i="28"/>
  <c r="E26" i="28"/>
  <c r="E41" i="28" s="1"/>
  <c r="D72" i="14"/>
  <c r="E26" i="14"/>
  <c r="D72" i="84"/>
  <c r="D72" i="60"/>
  <c r="E26" i="60"/>
  <c r="E41" i="60" s="1"/>
  <c r="E26" i="61"/>
  <c r="E41" i="61" s="1"/>
  <c r="D72" i="61"/>
  <c r="D72" i="58"/>
  <c r="E26" i="58"/>
  <c r="E41" i="58" s="1"/>
  <c r="D72" i="13"/>
  <c r="E26" i="13"/>
  <c r="E41" i="13" s="1"/>
  <c r="E26" i="9"/>
  <c r="E41" i="9" s="1"/>
  <c r="D72" i="9"/>
  <c r="E26" i="8"/>
  <c r="E41" i="8" s="1"/>
  <c r="D72" i="7"/>
  <c r="E26" i="7"/>
  <c r="E41" i="7" s="1"/>
  <c r="D72" i="6"/>
  <c r="E26" i="6"/>
  <c r="E41" i="6" s="1"/>
  <c r="D72" i="95"/>
  <c r="E26" i="95"/>
  <c r="E41" i="95" s="1"/>
  <c r="D72" i="93"/>
  <c r="E26" i="93"/>
  <c r="E41" i="93" s="1"/>
  <c r="E26" i="94"/>
  <c r="E41" i="94" s="1"/>
  <c r="E26" i="53"/>
  <c r="E41" i="53" s="1"/>
  <c r="D72" i="53"/>
  <c r="E72" i="53" s="1"/>
  <c r="E26" i="67"/>
  <c r="E41" i="67" s="1"/>
  <c r="E26" i="69"/>
  <c r="E41" i="69" s="1"/>
  <c r="D72" i="120"/>
  <c r="D74" i="120" s="1"/>
  <c r="D75" i="120" s="1"/>
  <c r="E26" i="120"/>
  <c r="E41" i="120" s="1"/>
  <c r="E26" i="121"/>
  <c r="E41" i="121" s="1"/>
  <c r="E26" i="122"/>
  <c r="E41" i="122" s="1"/>
  <c r="E26" i="79"/>
  <c r="E41" i="79" s="1"/>
  <c r="E26" i="78"/>
  <c r="E41" i="78" s="1"/>
  <c r="E26" i="81"/>
  <c r="E41" i="81" s="1"/>
  <c r="E26" i="17"/>
  <c r="E41" i="17" s="1"/>
  <c r="E26" i="16"/>
  <c r="E41" i="16" s="1"/>
  <c r="E26" i="11"/>
  <c r="E41" i="11" s="1"/>
  <c r="E26" i="10"/>
  <c r="E41" i="10" s="1"/>
  <c r="E26" i="5"/>
  <c r="E41" i="5" s="1"/>
  <c r="D72" i="4"/>
  <c r="D74" i="4" s="1"/>
  <c r="D75" i="4" s="1"/>
  <c r="E41" i="4"/>
  <c r="D72" i="194"/>
  <c r="D74" i="194" s="1"/>
  <c r="D75" i="194" s="1"/>
  <c r="E26" i="194"/>
  <c r="E41" i="194" s="1"/>
  <c r="E41" i="119"/>
  <c r="E69" i="53"/>
  <c r="E64" i="53"/>
  <c r="E73" i="53"/>
  <c r="D75" i="196"/>
  <c r="E58" i="196"/>
  <c r="E64" i="196" s="1"/>
  <c r="D76" i="70"/>
  <c r="E41" i="71"/>
  <c r="D76" i="72"/>
  <c r="E58" i="72"/>
  <c r="E64" i="72" s="1"/>
  <c r="E58" i="74"/>
  <c r="E64" i="74" s="1"/>
  <c r="E41" i="177"/>
  <c r="E58" i="177"/>
  <c r="E64" i="177" s="1"/>
  <c r="E58" i="20"/>
  <c r="E64" i="20" s="1"/>
  <c r="E41" i="132"/>
  <c r="E41" i="179"/>
  <c r="E41" i="89"/>
  <c r="E41" i="168"/>
  <c r="E41" i="70"/>
  <c r="E41" i="27"/>
  <c r="E41" i="148"/>
  <c r="D74" i="95" l="1"/>
  <c r="E58" i="37"/>
  <c r="E64" i="37" s="1"/>
  <c r="E58" i="110"/>
  <c r="E64" i="110" s="1"/>
  <c r="E58" i="153"/>
  <c r="E64" i="153" s="1"/>
  <c r="D74" i="60"/>
  <c r="D75" i="60" s="1"/>
  <c r="D64" i="198"/>
  <c r="D58" i="198" s="1"/>
  <c r="E72" i="93"/>
  <c r="D72" i="69"/>
  <c r="E58" i="70"/>
  <c r="E64" i="70" s="1"/>
  <c r="D74" i="58"/>
  <c r="D75" i="58" s="1"/>
  <c r="E73" i="6"/>
  <c r="D74" i="6"/>
  <c r="D75" i="6" s="1"/>
  <c r="D72" i="94"/>
  <c r="D74" i="69"/>
  <c r="D75" i="69" s="1"/>
  <c r="E11" i="78"/>
  <c r="E21" i="78" s="1"/>
  <c r="E72" i="4"/>
  <c r="D64" i="156"/>
  <c r="D58" i="156" s="1"/>
  <c r="D58" i="9"/>
  <c r="D74" i="9" s="1"/>
  <c r="D72" i="8"/>
  <c r="D74" i="8" s="1"/>
  <c r="D75" i="8" s="1"/>
  <c r="E21" i="7"/>
  <c r="E76" i="93"/>
  <c r="E76" i="53"/>
  <c r="D74" i="53"/>
  <c r="D75" i="53" s="1"/>
  <c r="E75" i="53" s="1"/>
  <c r="D72" i="67"/>
  <c r="D74" i="67" s="1"/>
  <c r="D75" i="67" s="1"/>
  <c r="E21" i="17"/>
  <c r="E11" i="5"/>
  <c r="E21" i="5" s="1"/>
  <c r="E58" i="6"/>
  <c r="E74" i="6" s="1"/>
  <c r="E75" i="6" s="1"/>
  <c r="E64" i="6"/>
  <c r="D75" i="95"/>
  <c r="D64" i="191"/>
  <c r="D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D74" i="108" s="1"/>
  <c r="D76" i="108" s="1"/>
  <c r="D64" i="216"/>
  <c r="D58" i="216" s="1"/>
  <c r="D64" i="215"/>
  <c r="D58" i="215" s="1"/>
  <c r="D64" i="175"/>
  <c r="D58" i="175" s="1"/>
  <c r="E58" i="175" s="1"/>
  <c r="D64" i="140"/>
  <c r="D58" i="140" s="1"/>
  <c r="D64" i="113"/>
  <c r="D58" i="113" s="1"/>
  <c r="D64" i="146"/>
  <c r="D58" i="146" s="1"/>
  <c r="D64" i="117"/>
  <c r="D58" i="117" s="1"/>
  <c r="D64" i="145"/>
  <c r="D58" i="145" s="1"/>
  <c r="D64" i="144"/>
  <c r="D58" i="144" s="1"/>
  <c r="D64" i="119"/>
  <c r="D58" i="119" s="1"/>
  <c r="D74" i="119" s="1"/>
  <c r="D75" i="119" s="1"/>
  <c r="D64" i="118"/>
  <c r="D58" i="118" s="1"/>
  <c r="D64" i="205"/>
  <c r="D58" i="205" s="1"/>
  <c r="D64" i="99"/>
  <c r="D58" i="99" s="1"/>
  <c r="D64" i="100"/>
  <c r="D58" i="100" s="1"/>
  <c r="E58" i="100" s="1"/>
  <c r="D64" i="39"/>
  <c r="D58" i="39" s="1"/>
  <c r="D64" i="130"/>
  <c r="D58" i="130" s="1"/>
  <c r="D64" i="174"/>
  <c r="D58" i="174" s="1"/>
  <c r="D64" i="25"/>
  <c r="D58" i="25" s="1"/>
  <c r="E58" i="25" s="1"/>
  <c r="D64" i="38"/>
  <c r="D58" i="38" s="1"/>
  <c r="D64" i="171"/>
  <c r="D58" i="171" s="1"/>
  <c r="E58" i="171" s="1"/>
  <c r="E64" i="171" s="1"/>
  <c r="D64" i="214"/>
  <c r="D58" i="214" s="1"/>
  <c r="E58" i="214" s="1"/>
  <c r="D64" i="166"/>
  <c r="D58" i="166" s="1"/>
  <c r="D64" i="165"/>
  <c r="D58" i="165" s="1"/>
  <c r="D64" i="190"/>
  <c r="D58" i="190" s="1"/>
  <c r="D74" i="190" s="1"/>
  <c r="D75" i="190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64" i="89"/>
  <c r="D58" i="89" s="1"/>
  <c r="D74" i="89" s="1"/>
  <c r="D75" i="89" s="1"/>
  <c r="D64" i="168"/>
  <c r="D58" i="168" s="1"/>
  <c r="D64" i="88"/>
  <c r="D58" i="88" s="1"/>
  <c r="D64" i="114"/>
  <c r="D58" i="114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D64" i="77"/>
  <c r="D58" i="77" s="1"/>
  <c r="E58" i="77" s="1"/>
  <c r="D64" i="75"/>
  <c r="D58" i="75" s="1"/>
  <c r="D74" i="75" s="1"/>
  <c r="D76" i="75" s="1"/>
  <c r="D74" i="71"/>
  <c r="D76" i="71" s="1"/>
  <c r="E58" i="71"/>
  <c r="E64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64" i="56"/>
  <c r="D58" i="56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07"/>
  <c r="D58" i="107" s="1"/>
  <c r="D64" i="151"/>
  <c r="D58" i="151" s="1"/>
  <c r="D64" i="96"/>
  <c r="D58" i="96" s="1"/>
  <c r="D64" i="112"/>
  <c r="D58" i="112" s="1"/>
  <c r="D64" i="200"/>
  <c r="D58" i="200" s="1"/>
  <c r="D64" i="28"/>
  <c r="D58" i="28" s="1"/>
  <c r="D72" i="81"/>
  <c r="D74" i="81" s="1"/>
  <c r="D75" i="81" s="1"/>
  <c r="D72" i="17"/>
  <c r="E72" i="17" s="1"/>
  <c r="E71" i="95"/>
  <c r="E64" i="95"/>
  <c r="E58" i="95"/>
  <c r="E73" i="95"/>
  <c r="E26" i="130"/>
  <c r="E41" i="130" s="1"/>
  <c r="E26" i="143"/>
  <c r="E41" i="143" s="1"/>
  <c r="D74" i="122"/>
  <c r="D75" i="122" s="1"/>
  <c r="E26" i="1"/>
  <c r="E26" i="75"/>
  <c r="E41" i="75" s="1"/>
  <c r="E26" i="138"/>
  <c r="E41" i="138" s="1"/>
  <c r="E26" i="164"/>
  <c r="E41" i="164" s="1"/>
  <c r="E26" i="102"/>
  <c r="E41" i="102" s="1"/>
  <c r="E26" i="170"/>
  <c r="E41" i="170" s="1"/>
  <c r="E11" i="1"/>
  <c r="E21" i="1" s="1"/>
  <c r="E58" i="63"/>
  <c r="D74" i="199"/>
  <c r="D75" i="199" s="1"/>
  <c r="E26" i="166"/>
  <c r="E41" i="166" s="1"/>
  <c r="E26" i="174"/>
  <c r="E41" i="174" s="1"/>
  <c r="E26" i="118"/>
  <c r="E41" i="118" s="1"/>
  <c r="D74" i="84"/>
  <c r="D75" i="84" s="1"/>
  <c r="E26" i="114"/>
  <c r="E41" i="114" s="1"/>
  <c r="E26" i="129"/>
  <c r="E41" i="129" s="1"/>
  <c r="E26" i="46"/>
  <c r="E41" i="46" s="1"/>
  <c r="E26" i="104"/>
  <c r="E41" i="104" s="1"/>
  <c r="E26" i="147"/>
  <c r="E41" i="147" s="1"/>
  <c r="E26" i="176"/>
  <c r="E26" i="109"/>
  <c r="E41" i="109" s="1"/>
  <c r="E26" i="105"/>
  <c r="E41" i="105" s="1"/>
  <c r="D74" i="23"/>
  <c r="E21" i="23"/>
  <c r="E73" i="23" s="1"/>
  <c r="D64" i="41"/>
  <c r="D58" i="41" s="1"/>
  <c r="D64" i="101"/>
  <c r="D58" i="101" s="1"/>
  <c r="D64" i="173"/>
  <c r="D58" i="173" s="1"/>
  <c r="D64" i="104"/>
  <c r="D58" i="104" s="1"/>
  <c r="D64" i="213"/>
  <c r="D58" i="213" s="1"/>
  <c r="D64" i="76"/>
  <c r="D58" i="76" s="1"/>
  <c r="E58" i="76" s="1"/>
  <c r="D74" i="73"/>
  <c r="D76" i="73" s="1"/>
  <c r="E58" i="73"/>
  <c r="E64" i="73" s="1"/>
  <c r="D64" i="27"/>
  <c r="D58" i="27" s="1"/>
  <c r="D74" i="27" s="1"/>
  <c r="D76" i="27" s="1"/>
  <c r="D64" i="202"/>
  <c r="D58" i="202" s="1"/>
  <c r="D64" i="57"/>
  <c r="D58" i="57" s="1"/>
  <c r="D64" i="33"/>
  <c r="D58" i="33" s="1"/>
  <c r="E58" i="53"/>
  <c r="E74" i="53" s="1"/>
  <c r="E64" i="4"/>
  <c r="D74" i="13"/>
  <c r="D75" i="13" s="1"/>
  <c r="D72" i="1"/>
  <c r="E58" i="199"/>
  <c r="E64" i="199"/>
  <c r="E73" i="199"/>
  <c r="E69" i="199"/>
  <c r="D64" i="65"/>
  <c r="D58" i="65" s="1"/>
  <c r="D74" i="65" s="1"/>
  <c r="D75" i="65" s="1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64" i="176"/>
  <c r="D58" i="176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64" i="142"/>
  <c r="D58" i="142" s="1"/>
  <c r="D74" i="143"/>
  <c r="D75" i="143" s="1"/>
  <c r="D64" i="204"/>
  <c r="D58" i="204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74" i="74"/>
  <c r="D76" i="74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97"/>
  <c r="D58" i="97" s="1"/>
  <c r="D74" i="97" s="1"/>
  <c r="D75" i="97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E58" i="195" s="1"/>
  <c r="D64" i="188"/>
  <c r="D58" i="188" s="1"/>
  <c r="D64" i="42"/>
  <c r="D58" i="42" s="1"/>
  <c r="E58" i="42" s="1"/>
  <c r="D64" i="83"/>
  <c r="D58" i="83" s="1"/>
  <c r="D74" i="83" s="1"/>
  <c r="D75" i="83" s="1"/>
  <c r="D74" i="48"/>
  <c r="D75" i="48" s="1"/>
  <c r="E21" i="48"/>
  <c r="D64" i="29"/>
  <c r="D58" i="29" s="1"/>
  <c r="E58" i="29" s="1"/>
  <c r="D64" i="49"/>
  <c r="D58" i="49" s="1"/>
  <c r="E58" i="49" s="1"/>
  <c r="D64" i="22"/>
  <c r="D58" i="22" s="1"/>
  <c r="D74" i="22" s="1"/>
  <c r="D75" i="22" s="1"/>
  <c r="D64" i="14"/>
  <c r="D58" i="14" s="1"/>
  <c r="E21" i="84"/>
  <c r="E21" i="60"/>
  <c r="D74" i="61"/>
  <c r="D75" i="61" s="1"/>
  <c r="E21" i="61"/>
  <c r="E21" i="58"/>
  <c r="E21" i="13"/>
  <c r="D75" i="9"/>
  <c r="E21" i="9"/>
  <c r="E21" i="8"/>
  <c r="D74" i="105"/>
  <c r="D75" i="105" s="1"/>
  <c r="E58" i="215"/>
  <c r="D74" i="215"/>
  <c r="D75" i="215" s="1"/>
  <c r="D74" i="146"/>
  <c r="D76" i="146" s="1"/>
  <c r="E58" i="146"/>
  <c r="E58" i="143"/>
  <c r="E64" i="143" s="1"/>
  <c r="D74" i="118"/>
  <c r="D75" i="118" s="1"/>
  <c r="E58" i="89"/>
  <c r="E58" i="88"/>
  <c r="D74" i="88"/>
  <c r="D75" i="88" s="1"/>
  <c r="D74" i="114"/>
  <c r="D75" i="114" s="1"/>
  <c r="E58" i="114"/>
  <c r="E58" i="36"/>
  <c r="D74" i="36"/>
  <c r="D75" i="36" s="1"/>
  <c r="D74" i="189"/>
  <c r="D75" i="189" s="1"/>
  <c r="D74" i="55"/>
  <c r="D75" i="55" s="1"/>
  <c r="E58" i="55"/>
  <c r="E64" i="55" s="1"/>
  <c r="D74" i="112"/>
  <c r="D75" i="112" s="1"/>
  <c r="E58" i="112"/>
  <c r="E58" i="156"/>
  <c r="D74" i="156"/>
  <c r="D75" i="156" s="1"/>
  <c r="E64" i="93"/>
  <c r="E69" i="93"/>
  <c r="D73" i="93"/>
  <c r="D74" i="93" s="1"/>
  <c r="D75" i="93" s="1"/>
  <c r="E75" i="93" s="1"/>
  <c r="E21" i="94"/>
  <c r="E73" i="67"/>
  <c r="E69" i="67"/>
  <c r="E72" i="67"/>
  <c r="E58" i="67"/>
  <c r="D74" i="121"/>
  <c r="D75" i="121" s="1"/>
  <c r="E11" i="121"/>
  <c r="E21" i="121" s="1"/>
  <c r="E11" i="122"/>
  <c r="E21" i="122" s="1"/>
  <c r="E11" i="79"/>
  <c r="E21" i="79" s="1"/>
  <c r="D74" i="78"/>
  <c r="D75" i="78" s="1"/>
  <c r="E64" i="81"/>
  <c r="E69" i="81"/>
  <c r="E58" i="81"/>
  <c r="E72" i="81"/>
  <c r="E64" i="17"/>
  <c r="E58" i="17"/>
  <c r="E69" i="17"/>
  <c r="E73" i="17"/>
  <c r="E11" i="16"/>
  <c r="E21" i="16" s="1"/>
  <c r="D74" i="11"/>
  <c r="D75" i="11" s="1"/>
  <c r="E11" i="11"/>
  <c r="E21" i="11" s="1"/>
  <c r="D74" i="10"/>
  <c r="D75" i="10" s="1"/>
  <c r="E11" i="10"/>
  <c r="E21" i="10" s="1"/>
  <c r="D74" i="5"/>
  <c r="D75" i="5" s="1"/>
  <c r="E64" i="5"/>
  <c r="E58" i="5"/>
  <c r="E73" i="5"/>
  <c r="E72" i="5"/>
  <c r="E69" i="5"/>
  <c r="E58" i="4"/>
  <c r="E73" i="4"/>
  <c r="E69" i="4"/>
  <c r="D74" i="198"/>
  <c r="D75" i="198" s="1"/>
  <c r="E58" i="198"/>
  <c r="E64" i="25"/>
  <c r="E74" i="25"/>
  <c r="E75" i="25" s="1"/>
  <c r="D74" i="28"/>
  <c r="D75" i="28" s="1"/>
  <c r="E58" i="28"/>
  <c r="E64" i="194"/>
  <c r="E58" i="194"/>
  <c r="E73" i="194"/>
  <c r="E69" i="194"/>
  <c r="E73" i="120"/>
  <c r="E72" i="120"/>
  <c r="E69" i="120"/>
  <c r="E64" i="120"/>
  <c r="E58" i="120"/>
  <c r="D74" i="42"/>
  <c r="D75" i="42" s="1"/>
  <c r="E72" i="69"/>
  <c r="E73" i="69"/>
  <c r="E58" i="69"/>
  <c r="E64" i="69"/>
  <c r="E71" i="69"/>
  <c r="E69" i="69"/>
  <c r="D74" i="30"/>
  <c r="D75" i="30" s="1"/>
  <c r="E58" i="30"/>
  <c r="D74" i="16"/>
  <c r="D75" i="16" s="1"/>
  <c r="D74" i="200"/>
  <c r="D75" i="200" s="1"/>
  <c r="D74" i="195"/>
  <c r="D75" i="195" s="1"/>
  <c r="E58" i="99"/>
  <c r="D74" i="99"/>
  <c r="D75" i="99" s="1"/>
  <c r="D74" i="206"/>
  <c r="D75" i="206" s="1"/>
  <c r="D74" i="211"/>
  <c r="D76" i="211" s="1"/>
  <c r="E41" i="72"/>
  <c r="E73" i="81"/>
  <c r="E64" i="67"/>
  <c r="E58" i="93"/>
  <c r="E58" i="129"/>
  <c r="D74" i="25"/>
  <c r="D75" i="25" s="1"/>
  <c r="E73" i="177"/>
  <c r="E74" i="177" s="1"/>
  <c r="E75" i="177" s="1"/>
  <c r="E73" i="37"/>
  <c r="E74" i="37" s="1"/>
  <c r="E75" i="37" s="1"/>
  <c r="E73" i="71"/>
  <c r="E74" i="71" s="1"/>
  <c r="E76" i="71" s="1"/>
  <c r="D74" i="117"/>
  <c r="D75" i="117" s="1"/>
  <c r="E58" i="174"/>
  <c r="D74" i="174"/>
  <c r="D75" i="174" s="1"/>
  <c r="E58" i="165"/>
  <c r="D74" i="165"/>
  <c r="D75" i="165" s="1"/>
  <c r="E58" i="103"/>
  <c r="D74" i="103"/>
  <c r="D75" i="103" s="1"/>
  <c r="E73" i="217"/>
  <c r="E69" i="217"/>
  <c r="E64" i="217"/>
  <c r="E72" i="194"/>
  <c r="E41" i="117"/>
  <c r="D74" i="163"/>
  <c r="D75" i="163" s="1"/>
  <c r="D74" i="170"/>
  <c r="D75" i="170" s="1"/>
  <c r="D74" i="100"/>
  <c r="D75" i="100" s="1"/>
  <c r="E74" i="134"/>
  <c r="E75" i="134" s="1"/>
  <c r="E73" i="153"/>
  <c r="E74" i="153" s="1"/>
  <c r="E75" i="153" s="1"/>
  <c r="E73" i="73"/>
  <c r="E73" i="70"/>
  <c r="E74" i="70" s="1"/>
  <c r="E76" i="70" s="1"/>
  <c r="E58" i="202"/>
  <c r="D74" i="202"/>
  <c r="D75" i="202" s="1"/>
  <c r="E58" i="201"/>
  <c r="E58" i="205"/>
  <c r="D74" i="205"/>
  <c r="D75" i="205" s="1"/>
  <c r="E58" i="212"/>
  <c r="D74" i="212"/>
  <c r="D75" i="212" s="1"/>
  <c r="D74" i="216"/>
  <c r="D75" i="216" s="1"/>
  <c r="E58" i="216"/>
  <c r="E41" i="88"/>
  <c r="E73" i="20"/>
  <c r="E74" i="20" s="1"/>
  <c r="E75" i="20" s="1"/>
  <c r="E73" i="143"/>
  <c r="E73" i="55"/>
  <c r="E73" i="72"/>
  <c r="E74" i="72" s="1"/>
  <c r="E76" i="72" s="1"/>
  <c r="E58" i="191"/>
  <c r="D74" i="191"/>
  <c r="D75" i="191" s="1"/>
  <c r="E58" i="26"/>
  <c r="D74" i="26"/>
  <c r="D75" i="26" s="1"/>
  <c r="D74" i="141"/>
  <c r="D75" i="141" s="1"/>
  <c r="E58" i="164"/>
  <c r="D74" i="164"/>
  <c r="D75" i="164" s="1"/>
  <c r="E58" i="161"/>
  <c r="D74" i="161"/>
  <c r="D75" i="161" s="1"/>
  <c r="D74" i="204"/>
  <c r="D75" i="204" s="1"/>
  <c r="D74" i="213"/>
  <c r="D75" i="213" s="1"/>
  <c r="D74" i="94"/>
  <c r="D75" i="94" s="1"/>
  <c r="E71" i="67"/>
  <c r="E73" i="110"/>
  <c r="E74" i="110" s="1"/>
  <c r="E75" i="110" s="1"/>
  <c r="E73" i="90"/>
  <c r="E74" i="90" s="1"/>
  <c r="E75" i="90" s="1"/>
  <c r="E73" i="74"/>
  <c r="E74" i="74" s="1"/>
  <c r="E76" i="74" s="1"/>
  <c r="E73" i="196"/>
  <c r="E74" i="196" s="1"/>
  <c r="E75" i="196" s="1"/>
  <c r="D74" i="79"/>
  <c r="D75" i="79" s="1"/>
  <c r="E64" i="193" l="1"/>
  <c r="D74" i="171"/>
  <c r="D75" i="171" s="1"/>
  <c r="E58" i="108"/>
  <c r="E58" i="75"/>
  <c r="E74" i="171"/>
  <c r="E75" i="171" s="1"/>
  <c r="E58" i="136"/>
  <c r="E58" i="24"/>
  <c r="D74" i="209"/>
  <c r="D75" i="209" s="1"/>
  <c r="D74" i="49"/>
  <c r="D75" i="49" s="1"/>
  <c r="D74" i="64"/>
  <c r="D75" i="64" s="1"/>
  <c r="D74" i="175"/>
  <c r="D75" i="175" s="1"/>
  <c r="D74" i="214"/>
  <c r="D75" i="214" s="1"/>
  <c r="E58" i="167"/>
  <c r="D74" i="77"/>
  <c r="D75" i="77" s="1"/>
  <c r="E72" i="9"/>
  <c r="E72" i="7"/>
  <c r="E71" i="1"/>
  <c r="D58" i="128"/>
  <c r="E58" i="128" s="1"/>
  <c r="E74" i="105"/>
  <c r="E75" i="105" s="1"/>
  <c r="E74" i="170"/>
  <c r="E75" i="170" s="1"/>
  <c r="E58" i="22"/>
  <c r="E72" i="78"/>
  <c r="E64" i="78"/>
  <c r="D74" i="145"/>
  <c r="D75" i="145" s="1"/>
  <c r="E58" i="102"/>
  <c r="E74" i="102" s="1"/>
  <c r="E75" i="102" s="1"/>
  <c r="D74" i="46"/>
  <c r="D75" i="46" s="1"/>
  <c r="E74" i="163"/>
  <c r="E75" i="163" s="1"/>
  <c r="E74" i="73"/>
  <c r="E76" i="7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E73" i="1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74" i="145"/>
  <c r="E75" i="145" s="1"/>
  <c r="E58" i="144"/>
  <c r="D74" i="144"/>
  <c r="D75" i="144" s="1"/>
  <c r="E64" i="100"/>
  <c r="E74" i="100"/>
  <c r="E75" i="100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D74" i="56"/>
  <c r="D75" i="56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D74" i="107"/>
  <c r="D76" i="107" s="1"/>
  <c r="E58" i="151"/>
  <c r="D74" i="151"/>
  <c r="D76" i="151" s="1"/>
  <c r="E58" i="96"/>
  <c r="D74" i="96"/>
  <c r="D76" i="96" s="1"/>
  <c r="D74" i="14"/>
  <c r="D75" i="14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4" i="1"/>
  <c r="D75" i="1" s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D74" i="128"/>
  <c r="D75" i="128" s="1"/>
  <c r="E64" i="94"/>
  <c r="E72" i="61"/>
  <c r="E64" i="63"/>
  <c r="E74" i="63"/>
  <c r="E75" i="63" s="1"/>
  <c r="E72" i="94"/>
  <c r="E41" i="1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4" i="17"/>
  <c r="E75" i="17" s="1"/>
  <c r="E69" i="16"/>
  <c r="E72" i="16"/>
  <c r="E64" i="16"/>
  <c r="E58" i="16"/>
  <c r="E58" i="11"/>
  <c r="E69" i="10"/>
  <c r="E74" i="5"/>
  <c r="E75" i="5" s="1"/>
  <c r="E74" i="4"/>
  <c r="E75" i="4" s="1"/>
  <c r="E69" i="1"/>
  <c r="E72" i="13"/>
  <c r="E72" i="1"/>
  <c r="E58" i="1"/>
  <c r="E59" i="1"/>
  <c r="E58" i="109"/>
  <c r="D74" i="109"/>
  <c r="D76" i="109" s="1"/>
  <c r="D74" i="159"/>
  <c r="D76" i="159" s="1"/>
  <c r="E58" i="159"/>
  <c r="D74" i="176"/>
  <c r="D76" i="176" s="1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D74" i="142"/>
  <c r="D76" i="142" s="1"/>
  <c r="E58" i="142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4" i="9" s="1"/>
  <c r="E75" i="9" s="1"/>
  <c r="E71" i="8"/>
  <c r="E73" i="8"/>
  <c r="E64" i="8"/>
  <c r="E58" i="8"/>
  <c r="D58" i="7"/>
  <c r="D74" i="7" s="1"/>
  <c r="E64" i="7"/>
  <c r="E64" i="108"/>
  <c r="E74" i="108"/>
  <c r="E76" i="108" s="1"/>
  <c r="E64" i="215"/>
  <c r="E74" i="215"/>
  <c r="E75" i="215" s="1"/>
  <c r="E74" i="146"/>
  <c r="E76" i="146" s="1"/>
  <c r="E64" i="146"/>
  <c r="E64" i="89"/>
  <c r="E74" i="89"/>
  <c r="E75" i="89" s="1"/>
  <c r="E64" i="88"/>
  <c r="E74" i="88"/>
  <c r="E75" i="88" s="1"/>
  <c r="E64" i="114"/>
  <c r="E74" i="114"/>
  <c r="E75" i="114" s="1"/>
  <c r="E64" i="76"/>
  <c r="E74" i="76"/>
  <c r="E75" i="76" s="1"/>
  <c r="E64" i="36"/>
  <c r="E74" i="36"/>
  <c r="E75" i="36" s="1"/>
  <c r="E64" i="24"/>
  <c r="E74" i="24"/>
  <c r="E76" i="24" s="1"/>
  <c r="E64" i="189"/>
  <c r="E74" i="189"/>
  <c r="E75" i="189" s="1"/>
  <c r="E64" i="112"/>
  <c r="E74" i="112"/>
  <c r="E75" i="112" s="1"/>
  <c r="E74" i="156"/>
  <c r="E75" i="156" s="1"/>
  <c r="E64" i="156"/>
  <c r="E73" i="93"/>
  <c r="E74" i="93" s="1"/>
  <c r="E74" i="67"/>
  <c r="E75" i="67" s="1"/>
  <c r="E74" i="120"/>
  <c r="E75" i="120" s="1"/>
  <c r="E69" i="12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102"/>
  <c r="E64" i="26"/>
  <c r="E74" i="26"/>
  <c r="E75" i="26" s="1"/>
  <c r="E74" i="216"/>
  <c r="E75" i="216" s="1"/>
  <c r="E64" i="216"/>
  <c r="E74" i="103"/>
  <c r="E75" i="103" s="1"/>
  <c r="E64" i="103"/>
  <c r="E64" i="212"/>
  <c r="E74" i="212"/>
  <c r="E75" i="212" s="1"/>
  <c r="E74" i="202"/>
  <c r="E75" i="202" s="1"/>
  <c r="E64" i="202"/>
  <c r="E64" i="75"/>
  <c r="E74" i="75"/>
  <c r="E76" i="75" s="1"/>
  <c r="E64" i="129"/>
  <c r="E74" i="129"/>
  <c r="E75" i="129" s="1"/>
  <c r="E74" i="206"/>
  <c r="E75" i="206" s="1"/>
  <c r="E64" i="206"/>
  <c r="E74" i="30"/>
  <c r="E75" i="30" s="1"/>
  <c r="E64" i="30"/>
  <c r="E74" i="42"/>
  <c r="E75" i="42" s="1"/>
  <c r="E64" i="42"/>
  <c r="E64" i="49"/>
  <c r="E74" i="49"/>
  <c r="E75" i="49" s="1"/>
  <c r="E74" i="69"/>
  <c r="E75" i="69" s="1"/>
  <c r="E64" i="29"/>
  <c r="E74" i="29"/>
  <c r="E75" i="29" s="1"/>
  <c r="E74" i="164"/>
  <c r="E75" i="164" s="1"/>
  <c r="E64" i="164"/>
  <c r="E64" i="141"/>
  <c r="E74" i="141"/>
  <c r="E75" i="141" s="1"/>
  <c r="E64" i="214"/>
  <c r="E74" i="214"/>
  <c r="E75" i="214" s="1"/>
  <c r="E74" i="174"/>
  <c r="E75" i="174" s="1"/>
  <c r="E64" i="174"/>
  <c r="E74" i="204"/>
  <c r="E75" i="204" s="1"/>
  <c r="E64" i="204"/>
  <c r="E74" i="205"/>
  <c r="E75" i="205" s="1"/>
  <c r="E64" i="205"/>
  <c r="E64" i="65"/>
  <c r="E74" i="65"/>
  <c r="E75" i="65" s="1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74" i="119"/>
  <c r="E75" i="119" s="1"/>
  <c r="E64" i="167"/>
  <c r="E74" i="167"/>
  <c r="E75" i="167" s="1"/>
  <c r="E74" i="165"/>
  <c r="E75" i="165" s="1"/>
  <c r="E64" i="165"/>
  <c r="E74" i="117"/>
  <c r="E75" i="117" s="1"/>
  <c r="E64" i="210"/>
  <c r="E74" i="210"/>
  <c r="E75" i="210" s="1"/>
  <c r="E74" i="99"/>
  <c r="E75" i="99" s="1"/>
  <c r="E64" i="99"/>
  <c r="E74" i="200"/>
  <c r="E75" i="200" s="1"/>
  <c r="E74" i="14"/>
  <c r="E75" i="14" s="1"/>
  <c r="E74" i="28"/>
  <c r="E75" i="28" s="1"/>
  <c r="E64" i="28"/>
  <c r="E64" i="201"/>
  <c r="E74" i="201"/>
  <c r="E75" i="201" s="1"/>
  <c r="E64" i="136"/>
  <c r="E74" i="136"/>
  <c r="E75" i="136" s="1"/>
  <c r="E74" i="195"/>
  <c r="E75" i="195" s="1"/>
  <c r="E64" i="195"/>
  <c r="E74" i="22"/>
  <c r="E75" i="22" s="1"/>
  <c r="E64" i="22"/>
  <c r="E64" i="198"/>
  <c r="E74" i="198"/>
  <c r="E75" i="198" s="1"/>
  <c r="E74" i="97"/>
  <c r="E75" i="97" s="1"/>
  <c r="E64" i="27" l="1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4" i="61"/>
  <c r="E75" i="61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74" i="56"/>
  <c r="E75" i="56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4" i="60"/>
  <c r="E75" i="60" s="1"/>
  <c r="E74" i="13"/>
  <c r="E75" i="13" s="1"/>
  <c r="E74" i="121"/>
  <c r="E75" i="121" s="1"/>
  <c r="E74" i="16"/>
  <c r="E75" i="16" s="1"/>
  <c r="E74" i="58"/>
  <c r="E75" i="58" s="1"/>
  <c r="E74" i="1"/>
  <c r="E75" i="1" s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76"/>
  <c r="E74" i="176"/>
  <c r="E76" i="176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142"/>
  <c r="E74" i="142"/>
  <c r="E76" i="142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  <c r="E40" i="97"/>
</calcChain>
</file>

<file path=xl/sharedStrings.xml><?xml version="1.0" encoding="utf-8"?>
<sst xmlns="http://schemas.openxmlformats.org/spreadsheetml/2006/main" count="23404" uniqueCount="292">
  <si>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</si>
  <si>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</si>
  <si>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</si>
  <si>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</si>
  <si>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</si>
  <si>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</si>
  <si>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</si>
  <si>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</si>
  <si>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</si>
  <si>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</si>
  <si>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</si>
  <si>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</si>
  <si>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</si>
  <si>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</si>
  <si>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</si>
  <si>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</si>
  <si>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</si>
  <si>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</si>
  <si>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</si>
  <si>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</si>
  <si>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</si>
  <si>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</si>
  <si>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</si>
  <si>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</si>
  <si>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</si>
  <si>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</si>
  <si>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</si>
  <si>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</si>
  <si>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</si>
  <si>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</si>
  <si>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</si>
  <si>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</si>
  <si>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</si>
  <si>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</si>
  <si>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</si>
  <si>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</si>
  <si>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</si>
  <si>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</si>
  <si>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</si>
  <si>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</si>
  <si>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</si>
  <si>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</si>
  <si>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</si>
  <si>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</si>
  <si>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</si>
  <si>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</si>
  <si>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</si>
  <si>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</si>
  <si>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</si>
  <si>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</si>
  <si>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</si>
  <si>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</si>
  <si>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</si>
  <si>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</si>
  <si>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</si>
  <si>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</si>
  <si>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</si>
  <si>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</si>
  <si>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</si>
  <si>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</si>
  <si>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</si>
  <si>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</si>
  <si>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</si>
  <si>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</si>
  <si>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</si>
  <si>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</si>
  <si>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</si>
  <si>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</si>
  <si>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</si>
  <si>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</si>
  <si>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</si>
  <si>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</si>
  <si>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</si>
  <si>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</si>
  <si>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</si>
  <si>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</si>
  <si>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</si>
  <si>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</si>
  <si>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</si>
  <si>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</si>
  <si>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</si>
  <si>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</si>
  <si>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</si>
  <si>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</si>
  <si>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</si>
  <si>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</si>
  <si>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</si>
  <si>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</si>
  <si>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</si>
  <si>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</si>
  <si>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</si>
  <si>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</si>
  <si>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Portfel Stabilnego Wzrostu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</si>
  <si>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</si>
  <si>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</si>
  <si>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</si>
  <si>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</si>
  <si>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</si>
  <si>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</si>
  <si>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</si>
  <si>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</si>
  <si>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</si>
  <si>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 xml:space="preserve"> Portfel Akcji Rynków Rozwiniętych</t>
  </si>
  <si>
    <t>Portfel Akcji Rynków Wschodzących</t>
  </si>
  <si>
    <t>Portfel Obligacji Zagranicznych</t>
  </si>
  <si>
    <t>Fundusz Akcji Globalnych</t>
  </si>
  <si>
    <t>Fundusz Obligacji Globalnych</t>
  </si>
  <si>
    <t>Allianz FIO Akcji</t>
  </si>
  <si>
    <t>Allianz FIO Aktywnej Alokacji</t>
  </si>
  <si>
    <t>Allianz FIO Akcji Małych i Średnich Spółek</t>
  </si>
  <si>
    <t>Allianz FIO Obligacji Plus</t>
  </si>
  <si>
    <t>Allianz FIO Selektywny</t>
  </si>
  <si>
    <t>Allianz FIO Stabilnego Wzrostu</t>
  </si>
  <si>
    <t>Allianz FIO Polskich Obligacji Skarbowych</t>
  </si>
  <si>
    <t>Altus FIO Absolutnej Stopy Zwrotu Dłużny C</t>
  </si>
  <si>
    <t xml:space="preserve"> Aviva Investors FIO Dłużnych Papierów Korporacyjnych</t>
  </si>
  <si>
    <t xml:space="preserve"> Investor FIO Akcji </t>
  </si>
  <si>
    <t xml:space="preserve"> Investor SFIO Gold Otwarty</t>
  </si>
  <si>
    <t xml:space="preserve"> Investor FIO TOP 25 Małych Spółek</t>
  </si>
  <si>
    <t>Investor SFIO Ameryka Łacińska</t>
  </si>
  <si>
    <t xml:space="preserve"> Investor SFIO BRIC</t>
  </si>
  <si>
    <t xml:space="preserve"> Investor SFIO Indie i Chiny</t>
  </si>
  <si>
    <t xml:space="preserve"> Investor SFIO Turcja</t>
  </si>
  <si>
    <t xml:space="preserve"> Investor FIO Zrównoważony</t>
  </si>
  <si>
    <t xml:space="preserve"> Noble Fund FIO Akcji Małych i Średnich Spółek</t>
  </si>
  <si>
    <t xml:space="preserve"> PZU FIO Akcji Małych i Średnich Spółek</t>
  </si>
  <si>
    <t xml:space="preserve"> PZU SFIO GI Akcji Rynków Rozwiniętych</t>
  </si>
  <si>
    <t>PZU FIO Zrównoważony</t>
  </si>
  <si>
    <t xml:space="preserve"> Skarbiec FIO Spółek Wzrostowych</t>
  </si>
  <si>
    <t>UniFundusze FIO UniKorona Akcje</t>
  </si>
  <si>
    <t>UniFundusze FIO UniAkcje Małych i Średnich Spółek</t>
  </si>
  <si>
    <t xml:space="preserve"> UniFundusze FIO UniStabilny Wzrost</t>
  </si>
  <si>
    <t>UniFundusze FIO UniKorona Zrównoważony</t>
  </si>
  <si>
    <t>UniFundusze FIO UniKorona Obligacje</t>
  </si>
  <si>
    <t>UniFundusze FIO UniAkcje Wzrostu</t>
  </si>
  <si>
    <t>Schroder ISF EURO Equity Hedged A1 (Acc) (PLN)</t>
  </si>
  <si>
    <t>Schroder ISF Frontier Markets Equity Hedged A1 (Acc) (PLN)</t>
  </si>
  <si>
    <t>Schroder ISF Global Diversified Growth Hedged A1 (Acc) (PLN)</t>
  </si>
  <si>
    <t>Schroder ISF Global High Income Bond Hedged A1 (Acc) (PLN)</t>
  </si>
  <si>
    <t>Schroder ISF Asian Convertible Bond Hedged A1 (Acc) (PLN)</t>
  </si>
  <si>
    <t>Schroder ISF Emerging Markets Debt Absolute Return Hedged A1 (Acc) (PLN)</t>
  </si>
  <si>
    <t xml:space="preserve"> Franklin U.S. Opportunities Fund N Hedged (Acc) (PLN)</t>
  </si>
  <si>
    <t>Franklin Global Fundamental Strategies Fund N Hedged (Acc) (PLN)</t>
  </si>
  <si>
    <t>Franklin Natural Resources Fund N Hedged (Acc) (PLN)</t>
  </si>
  <si>
    <t>Franklin European Dividend Fund N Hedged (Acc) (PLN)</t>
  </si>
  <si>
    <t xml:space="preserve"> Templeton Global Bond Fund N Hedged (Acc) (PLN)</t>
  </si>
  <si>
    <t xml:space="preserve"> Templeton Global Total Return Fund A Hedged (Acc) (PLN)</t>
  </si>
  <si>
    <t xml:space="preserve"> Templeton Asian Growth Fund N Hedged (Acc) (PLN)</t>
  </si>
  <si>
    <t>Quercus SFIO Agresywny</t>
  </si>
  <si>
    <t>Quercus SFIO Short</t>
  </si>
  <si>
    <t>Quercus SFIO Stabilny</t>
  </si>
  <si>
    <t>Quercus SFIO Ochrony Kapitału</t>
  </si>
  <si>
    <t>Quercus SFIO LEV</t>
  </si>
  <si>
    <t>Quercus SFIO Rosja</t>
  </si>
  <si>
    <t>Quercus SFIO Selektywny</t>
  </si>
  <si>
    <t>Quercus SFIO Turcja</t>
  </si>
  <si>
    <t>JPM Emerging Markets Opportunities D (Acc) (PLN)</t>
  </si>
  <si>
    <t>JPM Global Healthcare D Hedged (Acc) (PLN)</t>
  </si>
  <si>
    <t>UniFundusze FIO UniAkcje Nowa Europa</t>
  </si>
  <si>
    <t xml:space="preserve"> Aviva Investors FIO Małych Spółek</t>
  </si>
  <si>
    <t>NN FIO Subfundusz Akcji Środkowoeuropejskich</t>
  </si>
  <si>
    <t>NN FIO Subfundusz Średnich i Małych Spółek</t>
  </si>
  <si>
    <t xml:space="preserve"> Skarbiec FIO Małych i Średnich Spółek</t>
  </si>
  <si>
    <t>UniFundusze FIO UniObligacje Nowa Europa</t>
  </si>
  <si>
    <t xml:space="preserve">Schroder ISF Asian Opportunities PLN Hedged </t>
  </si>
  <si>
    <t>JPM Global Strategic Bond D Hedged (Acc) (PLN)</t>
  </si>
  <si>
    <t xml:space="preserve"> Templeton Latin America Fund PLN Hedged</t>
  </si>
  <si>
    <t>UniFundusze SFIO UniObligacje Aktywny</t>
  </si>
  <si>
    <t>NN FIO Akcji</t>
  </si>
  <si>
    <t>NN FIO Obligacji</t>
  </si>
  <si>
    <t>NN SFIO (L) Spółek Dywidendowych USA</t>
  </si>
  <si>
    <t>NN SFIO (L) Globalny Długu Korporacyjnego</t>
  </si>
  <si>
    <t>NN SFIO (L) Globalny Spółek Dywidendowych</t>
  </si>
  <si>
    <t>NN SFIO (L) Europejski Spółek Dywidendowych</t>
  </si>
  <si>
    <t xml:space="preserve">NN SFIO (L) Japonia </t>
  </si>
  <si>
    <t xml:space="preserve">NN SFIO (L) Obligacji Rynków Wschodzących WL </t>
  </si>
  <si>
    <t>NN SFIO (L) Nowej Azji</t>
  </si>
  <si>
    <t>Allianz FIO Akcji Globalnych</t>
  </si>
  <si>
    <t xml:space="preserve"> Investor SFIO Gotówkowy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</si>
  <si>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</si>
  <si>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</si>
  <si>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</si>
  <si>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</si>
  <si>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</si>
  <si>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</si>
  <si>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</si>
  <si>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</si>
  <si>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</si>
  <si>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</si>
  <si>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</si>
  <si>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</si>
  <si>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</si>
  <si>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</si>
  <si>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</si>
  <si>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</si>
  <si>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</si>
  <si>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</si>
  <si>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Portfel Aktywnej Alokacji</t>
  </si>
  <si>
    <t>Portfel Dynamiczny</t>
  </si>
  <si>
    <t>Allianz FIO Surowców i Energii</t>
  </si>
  <si>
    <t>Altus FIO Absolutnej Stopy Zwrotu Rynku Polskiego C</t>
  </si>
  <si>
    <t xml:space="preserve"> Investor FIO Płynna Lokata</t>
  </si>
  <si>
    <t xml:space="preserve"> Investor FIO Zabezpieczenia Emerytalnego</t>
  </si>
  <si>
    <t xml:space="preserve"> Ipopema SFIO Akcji kat. B</t>
  </si>
  <si>
    <t>LICZBA I WARTOŚĆ JEDNOSTEK ROZRACHUNKOWYCH uczestnictwa funduszu</t>
  </si>
  <si>
    <t>Wartość bilansowa (w zł)</t>
  </si>
  <si>
    <t>-</t>
  </si>
  <si>
    <t>GS Emerging Markets Debt Portfolio A (Acc) (PLN) (Hedged)</t>
  </si>
  <si>
    <t xml:space="preserve"> Investor FIO Akcji Spółek Dywidendowych</t>
  </si>
  <si>
    <t xml:space="preserve"> Investor SFIO Obligacji Korporacyjnych</t>
  </si>
  <si>
    <t>PZU FIO Akcji Krakowiak</t>
  </si>
  <si>
    <t xml:space="preserve"> Skarbiec FIO TOP Brands</t>
  </si>
  <si>
    <t>Portfel Strategicznej Alokacji</t>
  </si>
  <si>
    <t>Portfel Obniżonego Ryzyka</t>
  </si>
  <si>
    <t>Fundusz Energetyczny</t>
  </si>
  <si>
    <t>NN SFIO Subfundusz Stabilny Globalnej Alokacji (L)</t>
  </si>
  <si>
    <t>NN SFIO Subf.Spółek Dywidendowych Rynków Wschodzących (L)</t>
  </si>
  <si>
    <t>GS Global Strategic Macro Bond Portfolio A (Acc) (PLN) (Hedged)</t>
  </si>
  <si>
    <t>ESALIENS FIO Akcji</t>
  </si>
  <si>
    <t>ESALIENS FIO Obligacji</t>
  </si>
  <si>
    <t>ESALIENS FIO Pieniężny</t>
  </si>
  <si>
    <t xml:space="preserve">ESALIENS FIO Strateg </t>
  </si>
  <si>
    <t>NN SFIO (L) Depozytowy</t>
  </si>
  <si>
    <t>31-12-2017</t>
  </si>
  <si>
    <t xml:space="preserve"> Investor FIO Akcji Spółek Wzrostowych</t>
  </si>
  <si>
    <t>JPM Global Markets Opportunities Fund D (PLN)</t>
  </si>
  <si>
    <t>30-06-2018</t>
  </si>
  <si>
    <t>Allianz FIO Obligacji Globalnych</t>
  </si>
  <si>
    <t xml:space="preserve">Allianz SFIO Globalny Stabilnego Dochodu </t>
  </si>
  <si>
    <t xml:space="preserve">Allianz SFIO Zbalansowana Multistrategia </t>
  </si>
  <si>
    <t xml:space="preserve">Allianz SFIO Defensywna Multistrategia </t>
  </si>
  <si>
    <t xml:space="preserve">Allianz SFIO Dynamiczna Multistrategia </t>
  </si>
  <si>
    <t xml:space="preserve">Allianz SFIO Akcji Rynków Wschodzących </t>
  </si>
  <si>
    <t xml:space="preserve"> Pekao FG SFIO Akcji Rynków Wschodzących</t>
  </si>
  <si>
    <t xml:space="preserve"> Pekao FG SFIO Alternatywny - Globalnego Dochodu</t>
  </si>
  <si>
    <t xml:space="preserve"> Pekao FG SFIO Obligacji Strategicznych</t>
  </si>
  <si>
    <t xml:space="preserve"> Pekao FG SFIO Gotówkowy</t>
  </si>
  <si>
    <t xml:space="preserve"> Pekao FG SFIO Wzrostu i Dochodu Rynku Europejskiego</t>
  </si>
  <si>
    <t xml:space="preserve"> Pekao FG SFIO Surowców i Energii</t>
  </si>
  <si>
    <t xml:space="preserve"> Pekao FIO Akcji Polskich</t>
  </si>
  <si>
    <t xml:space="preserve"> Pekao FIO Dynamicznych Spółek</t>
  </si>
  <si>
    <t xml:space="preserve"> Pekao FIO Obligacji Plus</t>
  </si>
  <si>
    <t xml:space="preserve"> Pekao FIO Pieniężny </t>
  </si>
  <si>
    <t xml:space="preserve"> Pekao FIO Pieniężny Plus</t>
  </si>
  <si>
    <t xml:space="preserve"> Pekao FIO Stabilnego Inwestowania</t>
  </si>
  <si>
    <t xml:space="preserve"> Pekao FIO Obligacji - Dynamiczna Alokacja 2</t>
  </si>
  <si>
    <t xml:space="preserve"> Pekao FIO Akcji - Aktywna Selekcja</t>
  </si>
  <si>
    <t xml:space="preserve"> Pekao PW FIO Akcji Amerykańskich</t>
  </si>
  <si>
    <t xml:space="preserve"> Pekao PW FIO Akcji Europejskich</t>
  </si>
  <si>
    <t xml:space="preserve"> Pekao SF SFIO Strategii Globalnej</t>
  </si>
  <si>
    <t xml:space="preserve">Pekao FG SFIO Akcji Małych i Średnich Spółek Rynków Rozwiniętych </t>
  </si>
  <si>
    <t xml:space="preserve">Pekao FG SFIO Obligacji i Dochodu </t>
  </si>
  <si>
    <t>PKO Parasolowy FIO Akcji Nowa Europa</t>
  </si>
  <si>
    <t>PKO Parasolowy FIO Obligacji Długoterminowych</t>
  </si>
  <si>
    <t xml:space="preserve"> PKO Parasolowy FIO Stabilnego Wzrostu </t>
  </si>
  <si>
    <t>PKO Parasolowy FIO Zrównoważony</t>
  </si>
  <si>
    <t>PZU SFIO Gl Akcji Spółek Dywidendowych</t>
  </si>
  <si>
    <t xml:space="preserve"> PZU FIO Papierów Dłużnych POLONEZ</t>
  </si>
  <si>
    <t xml:space="preserve"> PZU FIO Sejf+</t>
  </si>
  <si>
    <t xml:space="preserve"> Skarbiec FIO Market Neutral</t>
  </si>
  <si>
    <t xml:space="preserve"> Skarbiec FIO Akcja </t>
  </si>
  <si>
    <t>UniFundusze FIO UniAkcje Dywidendowy</t>
  </si>
  <si>
    <t>UniFundusze SFIO UniObligacje Zamienne</t>
  </si>
  <si>
    <t xml:space="preserve"> Noble Fund FIO Global Return</t>
  </si>
  <si>
    <t xml:space="preserve"> Noble Fund FIO Akcji</t>
  </si>
  <si>
    <t xml:space="preserve"> Skarbiec FIO Globalny Małych i Średnich Spółek</t>
  </si>
  <si>
    <t>UniFundusze SFIO UniAkcje Daleki Wschód</t>
  </si>
  <si>
    <t>31-12-2018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</si>
  <si>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</si>
  <si>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</si>
  <si>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</si>
  <si>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</si>
  <si>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</si>
  <si>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</si>
  <si>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</si>
  <si>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</si>
  <si>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</si>
  <si>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</si>
  <si>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</si>
  <si>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</si>
  <si>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</si>
  <si>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</si>
  <si>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>Allianz FIO Lokacyjny</t>
  </si>
  <si>
    <t>31-122018</t>
  </si>
  <si>
    <t>UniFundusze FIO UniOszczędnościowy</t>
  </si>
  <si>
    <t>UniFundusze FIO UniKorona Dochodowy</t>
  </si>
  <si>
    <t xml:space="preserve">Skarbiec FIO Oszczędnościowy </t>
  </si>
  <si>
    <t xml:space="preserve"> Skarbiec FIO Obligacji Wysokiego Dochodu</t>
  </si>
  <si>
    <t xml:space="preserve"> PZU FIO Medyczny</t>
  </si>
  <si>
    <t xml:space="preserve">Fundusz Obligacji </t>
  </si>
  <si>
    <t>SPORZĄDZONE NA DZIEŃ 31-12-2018</t>
  </si>
  <si>
    <t>NA DZIEŃ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</si>
</sst>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00"/>
    <numFmt numFmtId="165" formatCode="0.0000"/>
    <numFmt numFmtId="167" formatCode="#,##0.0000_ ;\-#,##0.0000\ "/>
    <numFmt numFmtId="172" formatCode="0.00000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21" fillId="20" borderId="1" applyNumberFormat="0" applyAlignment="0" applyProtection="0"/>
    <xf numFmtId="9" fontId="2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3" borderId="9" applyNumberFormat="0" applyFont="0" applyAlignment="0" applyProtection="0"/>
    <xf numFmtId="0" fontId="26" fillId="3" borderId="0" applyNumberFormat="0" applyBorder="0" applyAlignment="0" applyProtection="0"/>
    <xf numFmtId="0" fontId="32" fillId="0" borderId="0"/>
    <xf numFmtId="0" fontId="20" fillId="23" borderId="66" applyNumberFormat="0" applyFont="0" applyAlignment="0" applyProtection="0"/>
    <xf numFmtId="0" fontId="22" fillId="0" borderId="65" applyNumberFormat="0" applyFill="0" applyAlignment="0" applyProtection="0"/>
    <xf numFmtId="0" fontId="21" fillId="20" borderId="63" applyNumberFormat="0" applyAlignment="0" applyProtection="0"/>
    <xf numFmtId="0" fontId="12" fillId="20" borderId="64" applyNumberFormat="0" applyAlignment="0" applyProtection="0"/>
    <xf numFmtId="0" fontId="11" fillId="7" borderId="63" applyNumberFormat="0" applyAlignment="0" applyProtection="0"/>
    <xf numFmtId="0" fontId="2" fillId="0" borderId="0"/>
    <xf numFmtId="0" fontId="20" fillId="23" borderId="70" applyNumberFormat="0" applyFont="0" applyAlignment="0" applyProtection="0"/>
    <xf numFmtId="0" fontId="22" fillId="0" borderId="69" applyNumberFormat="0" applyFill="0" applyAlignment="0" applyProtection="0"/>
    <xf numFmtId="0" fontId="21" fillId="20" borderId="67" applyNumberFormat="0" applyAlignment="0" applyProtection="0"/>
    <xf numFmtId="0" fontId="12" fillId="20" borderId="68" applyNumberFormat="0" applyAlignment="0" applyProtection="0"/>
    <xf numFmtId="0" fontId="11" fillId="7" borderId="67" applyNumberFormat="0" applyAlignment="0" applyProtection="0"/>
    <xf numFmtId="0" fontId="34" fillId="0" borderId="0"/>
    <xf numFmtId="0" fontId="35" fillId="33" borderId="0" applyNumberFormat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4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51" borderId="0" applyNumberFormat="0" applyBorder="0" applyAlignment="0" applyProtection="0"/>
    <xf numFmtId="0" fontId="36" fillId="55" borderId="0" applyNumberFormat="0" applyBorder="0" applyAlignment="0" applyProtection="0"/>
    <xf numFmtId="0" fontId="36" fillId="32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44" borderId="0" applyNumberFormat="0" applyBorder="0" applyAlignment="0" applyProtection="0"/>
    <xf numFmtId="0" fontId="36" fillId="48" borderId="0" applyNumberFormat="0" applyBorder="0" applyAlignment="0" applyProtection="0"/>
    <xf numFmtId="0" fontId="36" fillId="52" borderId="0" applyNumberFormat="0" applyBorder="0" applyAlignment="0" applyProtection="0"/>
    <xf numFmtId="0" fontId="37" fillId="26" borderId="0" applyNumberFormat="0" applyBorder="0" applyAlignment="0" applyProtection="0"/>
    <xf numFmtId="0" fontId="38" fillId="29" borderId="74" applyNumberFormat="0" applyAlignment="0" applyProtection="0"/>
    <xf numFmtId="0" fontId="39" fillId="30" borderId="77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0" borderId="71" applyNumberFormat="0" applyFill="0" applyAlignment="0" applyProtection="0"/>
    <xf numFmtId="0" fontId="43" fillId="0" borderId="72" applyNumberFormat="0" applyFill="0" applyAlignment="0" applyProtection="0"/>
    <xf numFmtId="0" fontId="44" fillId="0" borderId="7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74" applyNumberFormat="0" applyAlignment="0" applyProtection="0"/>
    <xf numFmtId="0" fontId="46" fillId="0" borderId="76" applyNumberFormat="0" applyFill="0" applyAlignment="0" applyProtection="0"/>
    <xf numFmtId="0" fontId="47" fillId="27" borderId="0" applyNumberFormat="0" applyBorder="0" applyAlignment="0" applyProtection="0"/>
    <xf numFmtId="0" fontId="34" fillId="31" borderId="78" applyNumberFormat="0" applyFont="0" applyAlignment="0" applyProtection="0"/>
    <xf numFmtId="0" fontId="48" fillId="29" borderId="75" applyNumberFormat="0" applyAlignment="0" applyProtection="0"/>
    <xf numFmtId="0" fontId="49" fillId="0" borderId="0" applyNumberFormat="0" applyFill="0" applyBorder="0" applyAlignment="0" applyProtection="0"/>
    <xf numFmtId="0" fontId="50" fillId="0" borderId="7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52" fillId="31" borderId="78" applyNumberFormat="0" applyFont="0" applyAlignment="0" applyProtection="0"/>
    <xf numFmtId="0" fontId="2" fillId="31" borderId="78" applyNumberFormat="0" applyFont="0" applyAlignment="0" applyProtection="0"/>
    <xf numFmtId="0" fontId="55" fillId="0" borderId="0"/>
    <xf numFmtId="0" fontId="2" fillId="0" borderId="0"/>
    <xf numFmtId="0" fontId="11" fillId="7" borderId="89" applyNumberFormat="0" applyAlignment="0" applyProtection="0"/>
    <xf numFmtId="0" fontId="12" fillId="20" borderId="90" applyNumberFormat="0" applyAlignment="0" applyProtection="0"/>
    <xf numFmtId="0" fontId="21" fillId="20" borderId="89" applyNumberFormat="0" applyAlignment="0" applyProtection="0"/>
    <xf numFmtId="0" fontId="22" fillId="0" borderId="91" applyNumberFormat="0" applyFill="0" applyAlignment="0" applyProtection="0"/>
    <xf numFmtId="0" fontId="20" fillId="23" borderId="92" applyNumberFormat="0" applyFont="0" applyAlignment="0" applyProtection="0"/>
    <xf numFmtId="0" fontId="22" fillId="0" borderId="91" applyNumberFormat="0" applyFill="0" applyAlignment="0" applyProtection="0"/>
    <xf numFmtId="0" fontId="12" fillId="20" borderId="90" applyNumberFormat="0" applyAlignment="0" applyProtection="0"/>
    <xf numFmtId="0" fontId="20" fillId="23" borderId="92" applyNumberFormat="0" applyFont="0" applyAlignment="0" applyProtection="0"/>
    <xf numFmtId="0" fontId="20" fillId="23" borderId="92" applyNumberFormat="0" applyFont="0" applyAlignment="0" applyProtection="0"/>
    <xf numFmtId="0" fontId="2" fillId="0" borderId="0"/>
    <xf numFmtId="0" fontId="11" fillId="7" borderId="89" applyNumberFormat="0" applyAlignment="0" applyProtection="0"/>
    <xf numFmtId="0" fontId="12" fillId="20" borderId="90" applyNumberFormat="0" applyAlignment="0" applyProtection="0"/>
    <xf numFmtId="0" fontId="21" fillId="20" borderId="89" applyNumberFormat="0" applyAlignment="0" applyProtection="0"/>
    <xf numFmtId="0" fontId="22" fillId="0" borderId="91" applyNumberFormat="0" applyFill="0" applyAlignment="0" applyProtection="0"/>
    <xf numFmtId="0" fontId="21" fillId="20" borderId="89" applyNumberFormat="0" applyAlignment="0" applyProtection="0"/>
    <xf numFmtId="0" fontId="11" fillId="7" borderId="89" applyNumberFormat="0" applyAlignment="0" applyProtection="0"/>
    <xf numFmtId="0" fontId="2" fillId="0" borderId="0"/>
    <xf numFmtId="0" fontId="2" fillId="31" borderId="78" applyNumberFormat="0" applyFont="0" applyAlignment="0" applyProtection="0"/>
    <xf numFmtId="0" fontId="1" fillId="0" borderId="0"/>
    <xf numFmtId="0" fontId="2" fillId="0" borderId="0"/>
    <xf numFmtId="0" fontId="57" fillId="0" borderId="0"/>
    <xf numFmtId="0" fontId="58" fillId="0" borderId="0"/>
  </cellStyleXfs>
  <cellXfs count="375">
    <xf numFmtId="0" fontId="0" fillId="0" borderId="0" xfId="0"/>
    <xf numFmtId="0" fontId="3" fillId="24" borderId="0" xfId="0" applyFont="1" applyFill="1"/>
    <xf numFmtId="4" fontId="3" fillId="24" borderId="0" xfId="0" applyNumberFormat="1" applyFont="1" applyFill="1"/>
    <xf numFmtId="0" fontId="3" fillId="24" borderId="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7" fillId="24" borderId="13" xfId="0" applyFont="1" applyFill="1" applyBorder="1" applyAlignment="1">
      <alignment horizontal="center"/>
    </xf>
    <xf numFmtId="0" fontId="7" fillId="24" borderId="18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43" fontId="3" fillId="24" borderId="0" xfId="0" applyNumberFormat="1" applyFont="1" applyFill="1" applyBorder="1" applyAlignment="1">
      <alignment wrapText="1"/>
    </xf>
    <xf numFmtId="0" fontId="6" fillId="24" borderId="17" xfId="0" applyFont="1" applyFill="1" applyBorder="1" applyAlignment="1">
      <alignment horizontal="left" wrapText="1"/>
    </xf>
    <xf numFmtId="0" fontId="6" fillId="24" borderId="18" xfId="0" applyFont="1" applyFill="1" applyBorder="1" applyAlignment="1">
      <alignment horizontal="left" wrapText="1"/>
    </xf>
    <xf numFmtId="0" fontId="6" fillId="24" borderId="18" xfId="0" applyFont="1" applyFill="1" applyBorder="1" applyAlignment="1">
      <alignment wrapText="1"/>
    </xf>
    <xf numFmtId="0" fontId="7" fillId="24" borderId="27" xfId="0" applyFont="1" applyFill="1" applyBorder="1" applyAlignment="1">
      <alignment wrapText="1"/>
    </xf>
    <xf numFmtId="0" fontId="6" fillId="24" borderId="22" xfId="0" applyFont="1" applyFill="1" applyBorder="1"/>
    <xf numFmtId="0" fontId="7" fillId="24" borderId="17" xfId="0" applyFont="1" applyFill="1" applyBorder="1" applyAlignment="1">
      <alignment horizontal="center"/>
    </xf>
    <xf numFmtId="0" fontId="7" fillId="24" borderId="18" xfId="0" applyNumberFormat="1" applyFont="1" applyFill="1" applyBorder="1" applyAlignment="1">
      <alignment wrapText="1"/>
    </xf>
    <xf numFmtId="0" fontId="7" fillId="24" borderId="20" xfId="0" applyFont="1" applyFill="1" applyBorder="1" applyAlignment="1">
      <alignment horizontal="center"/>
    </xf>
    <xf numFmtId="0" fontId="7" fillId="24" borderId="19" xfId="0" applyNumberFormat="1" applyFont="1" applyFill="1" applyBorder="1" applyAlignment="1">
      <alignment wrapText="1"/>
    </xf>
    <xf numFmtId="4" fontId="3" fillId="24" borderId="27" xfId="0" applyNumberFormat="1" applyFont="1" applyFill="1" applyBorder="1" applyAlignment="1">
      <alignment horizontal="center" wrapText="1"/>
    </xf>
    <xf numFmtId="4" fontId="3" fillId="24" borderId="28" xfId="0" applyNumberFormat="1" applyFont="1" applyFill="1" applyBorder="1" applyAlignment="1">
      <alignment horizontal="center" wrapText="1"/>
    </xf>
    <xf numFmtId="0" fontId="6" fillId="24" borderId="29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/>
    </xf>
    <xf numFmtId="0" fontId="7" fillId="24" borderId="27" xfId="0" applyNumberFormat="1" applyFont="1" applyFill="1" applyBorder="1" applyAlignment="1">
      <alignment wrapText="1"/>
    </xf>
    <xf numFmtId="0" fontId="6" fillId="24" borderId="32" xfId="0" applyFont="1" applyFill="1" applyBorder="1"/>
    <xf numFmtId="0" fontId="6" fillId="24" borderId="33" xfId="0" applyNumberFormat="1" applyFont="1" applyFill="1" applyBorder="1" applyAlignment="1">
      <alignment wrapText="1"/>
    </xf>
    <xf numFmtId="4" fontId="6" fillId="24" borderId="33" xfId="0" applyNumberFormat="1" applyFont="1" applyFill="1" applyBorder="1"/>
    <xf numFmtId="10" fontId="6" fillId="24" borderId="34" xfId="37" applyNumberFormat="1" applyFont="1" applyFill="1" applyBorder="1"/>
    <xf numFmtId="0" fontId="0" fillId="24" borderId="0" xfId="0" applyFill="1"/>
    <xf numFmtId="4" fontId="6" fillId="24" borderId="24" xfId="0" applyNumberFormat="1" applyFont="1" applyFill="1" applyBorder="1"/>
    <xf numFmtId="4" fontId="6" fillId="24" borderId="37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/>
    </xf>
    <xf numFmtId="0" fontId="6" fillId="24" borderId="38" xfId="0" applyNumberFormat="1" applyFont="1" applyFill="1" applyBorder="1" applyAlignment="1">
      <alignment wrapText="1"/>
    </xf>
    <xf numFmtId="10" fontId="6" fillId="24" borderId="15" xfId="37" applyNumberFormat="1" applyFont="1" applyFill="1" applyBorder="1"/>
    <xf numFmtId="0" fontId="20" fillId="0" borderId="0" xfId="35"/>
    <xf numFmtId="0" fontId="27" fillId="0" borderId="0" xfId="35" applyFont="1"/>
    <xf numFmtId="43" fontId="27" fillId="0" borderId="0" xfId="35" applyNumberFormat="1" applyFont="1"/>
    <xf numFmtId="0" fontId="28" fillId="0" borderId="29" xfId="35" applyFont="1" applyBorder="1"/>
    <xf numFmtId="0" fontId="28" fillId="0" borderId="41" xfId="35" applyFont="1" applyBorder="1"/>
    <xf numFmtId="43" fontId="28" fillId="0" borderId="42" xfId="35" applyNumberFormat="1" applyFont="1" applyBorder="1"/>
    <xf numFmtId="43" fontId="28" fillId="0" borderId="37" xfId="35" applyNumberFormat="1" applyFont="1" applyBorder="1"/>
    <xf numFmtId="43" fontId="28" fillId="0" borderId="0" xfId="35" applyNumberFormat="1" applyFont="1"/>
    <xf numFmtId="0" fontId="28" fillId="0" borderId="43" xfId="35" applyFont="1" applyBorder="1"/>
    <xf numFmtId="0" fontId="28" fillId="0" borderId="0" xfId="35" applyFont="1" applyBorder="1"/>
    <xf numFmtId="43" fontId="29" fillId="0" borderId="44" xfId="35" applyNumberFormat="1" applyFont="1" applyBorder="1" applyAlignment="1">
      <alignment horizontal="center"/>
    </xf>
    <xf numFmtId="43" fontId="29" fillId="0" borderId="45" xfId="35" applyNumberFormat="1" applyFont="1" applyBorder="1" applyAlignment="1">
      <alignment horizontal="center"/>
    </xf>
    <xf numFmtId="0" fontId="28" fillId="0" borderId="46" xfId="35" applyFont="1" applyBorder="1"/>
    <xf numFmtId="0" fontId="28" fillId="0" borderId="47" xfId="35" applyFont="1" applyBorder="1"/>
    <xf numFmtId="43" fontId="29" fillId="0" borderId="48" xfId="35" applyNumberFormat="1" applyFont="1" applyBorder="1" applyAlignment="1">
      <alignment horizontal="center"/>
    </xf>
    <xf numFmtId="43" fontId="29" fillId="0" borderId="49" xfId="35" applyNumberFormat="1" applyFont="1" applyBorder="1" applyAlignment="1">
      <alignment horizontal="center"/>
    </xf>
    <xf numFmtId="43" fontId="28" fillId="0" borderId="44" xfId="35" applyNumberFormat="1" applyFont="1" applyBorder="1"/>
    <xf numFmtId="43" fontId="28" fillId="0" borderId="45" xfId="35" applyNumberFormat="1" applyFont="1" applyBorder="1"/>
    <xf numFmtId="0" fontId="29" fillId="0" borderId="43" xfId="35" applyFont="1" applyBorder="1"/>
    <xf numFmtId="0" fontId="29" fillId="0" borderId="0" xfId="35" applyFont="1" applyBorder="1"/>
    <xf numFmtId="43" fontId="29" fillId="0" borderId="44" xfId="35" applyNumberFormat="1" applyFont="1" applyFill="1" applyBorder="1"/>
    <xf numFmtId="43" fontId="29" fillId="0" borderId="45" xfId="35" applyNumberFormat="1" applyFont="1" applyFill="1" applyBorder="1"/>
    <xf numFmtId="43" fontId="29" fillId="0" borderId="44" xfId="35" applyNumberFormat="1" applyFont="1" applyBorder="1"/>
    <xf numFmtId="43" fontId="29" fillId="0" borderId="45" xfId="35" applyNumberFormat="1" applyFont="1" applyBorder="1"/>
    <xf numFmtId="0" fontId="29" fillId="0" borderId="29" xfId="35" applyFont="1" applyBorder="1"/>
    <xf numFmtId="0" fontId="29" fillId="0" borderId="41" xfId="35" applyFont="1" applyBorder="1"/>
    <xf numFmtId="43" fontId="29" fillId="0" borderId="42" xfId="35" applyNumberFormat="1" applyFont="1" applyBorder="1"/>
    <xf numFmtId="43" fontId="29" fillId="0" borderId="37" xfId="35" applyNumberFormat="1" applyFont="1" applyBorder="1"/>
    <xf numFmtId="0" fontId="29" fillId="0" borderId="46" xfId="35" applyFont="1" applyBorder="1"/>
    <xf numFmtId="0" fontId="29" fillId="0" borderId="47" xfId="35" applyFont="1" applyBorder="1"/>
    <xf numFmtId="43" fontId="29" fillId="0" borderId="48" xfId="35" applyNumberFormat="1" applyFont="1" applyBorder="1"/>
    <xf numFmtId="43" fontId="29" fillId="0" borderId="49" xfId="35" applyNumberFormat="1" applyFont="1" applyBorder="1"/>
    <xf numFmtId="43" fontId="28" fillId="0" borderId="48" xfId="35" applyNumberFormat="1" applyFont="1" applyBorder="1"/>
    <xf numFmtId="43" fontId="28" fillId="0" borderId="49" xfId="35" applyNumberFormat="1" applyFont="1" applyBorder="1"/>
    <xf numFmtId="10" fontId="6" fillId="24" borderId="31" xfId="37" applyNumberFormat="1" applyFont="1" applyFill="1" applyBorder="1"/>
    <xf numFmtId="43" fontId="0" fillId="0" borderId="0" xfId="0" applyNumberFormat="1"/>
    <xf numFmtId="0" fontId="7" fillId="24" borderId="39" xfId="0" applyFont="1" applyFill="1" applyBorder="1" applyAlignment="1">
      <alignment wrapText="1"/>
    </xf>
    <xf numFmtId="0" fontId="7" fillId="24" borderId="40" xfId="0" applyFont="1" applyFill="1" applyBorder="1" applyAlignment="1">
      <alignment wrapText="1"/>
    </xf>
    <xf numFmtId="4" fontId="6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43" fontId="30" fillId="0" borderId="44" xfId="35" applyNumberFormat="1" applyFont="1" applyFill="1" applyBorder="1"/>
    <xf numFmtId="164" fontId="2" fillId="24" borderId="25" xfId="0" applyNumberFormat="1" applyFont="1" applyFill="1" applyBorder="1"/>
    <xf numFmtId="4" fontId="6" fillId="0" borderId="0" xfId="0" applyNumberFormat="1" applyFont="1"/>
    <xf numFmtId="165" fontId="2" fillId="24" borderId="25" xfId="0" applyNumberFormat="1" applyFont="1" applyFill="1" applyBorder="1"/>
    <xf numFmtId="0" fontId="7" fillId="24" borderId="11" xfId="0" applyFont="1" applyFill="1" applyBorder="1" applyAlignment="1">
      <alignment horizontal="center"/>
    </xf>
    <xf numFmtId="4" fontId="31" fillId="0" borderId="0" xfId="0" applyNumberFormat="1" applyFont="1"/>
    <xf numFmtId="4" fontId="2" fillId="24" borderId="18" xfId="0" applyNumberFormat="1" applyFont="1" applyFill="1" applyBorder="1"/>
    <xf numFmtId="10" fontId="2" fillId="24" borderId="31" xfId="37" applyNumberFormat="1" applyFont="1" applyFill="1" applyBorder="1"/>
    <xf numFmtId="4" fontId="2" fillId="24" borderId="27" xfId="0" applyNumberFormat="1" applyFont="1" applyFill="1" applyBorder="1"/>
    <xf numFmtId="10" fontId="2" fillId="24" borderId="28" xfId="37" applyNumberFormat="1" applyFont="1" applyFill="1" applyBorder="1"/>
    <xf numFmtId="4" fontId="2" fillId="24" borderId="19" xfId="0" applyNumberFormat="1" applyFont="1" applyFill="1" applyBorder="1"/>
    <xf numFmtId="10" fontId="2" fillId="24" borderId="35" xfId="37" applyNumberFormat="1" applyFont="1" applyFill="1" applyBorder="1"/>
    <xf numFmtId="0" fontId="2" fillId="24" borderId="0" xfId="0" applyFont="1" applyFill="1"/>
    <xf numFmtId="0" fontId="5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wrapText="1"/>
    </xf>
    <xf numFmtId="0" fontId="7" fillId="24" borderId="5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24" borderId="0" xfId="0" applyFont="1" applyFill="1" applyBorder="1" applyAlignment="1">
      <alignment horizontal="left" wrapText="1"/>
    </xf>
    <xf numFmtId="43" fontId="6" fillId="24" borderId="0" xfId="0" applyNumberFormat="1" applyFont="1" applyFill="1" applyBorder="1" applyAlignment="1">
      <alignment horizontal="right" wrapText="1"/>
    </xf>
    <xf numFmtId="0" fontId="6" fillId="24" borderId="30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horizontal="left" wrapText="1"/>
    </xf>
    <xf numFmtId="0" fontId="6" fillId="24" borderId="26" xfId="0" applyFont="1" applyFill="1" applyBorder="1" applyAlignment="1">
      <alignment horizontal="left" wrapText="1"/>
    </xf>
    <xf numFmtId="0" fontId="6" fillId="24" borderId="27" xfId="0" applyFont="1" applyFill="1" applyBorder="1" applyAlignment="1">
      <alignment horizontal="left" wrapText="1"/>
    </xf>
    <xf numFmtId="0" fontId="6" fillId="24" borderId="54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4" fontId="6" fillId="24" borderId="16" xfId="0" applyNumberFormat="1" applyFont="1" applyFill="1" applyBorder="1"/>
    <xf numFmtId="0" fontId="7" fillId="24" borderId="17" xfId="0" applyFont="1" applyFill="1" applyBorder="1" applyAlignment="1">
      <alignment horizontal="left"/>
    </xf>
    <xf numFmtId="0" fontId="7" fillId="24" borderId="20" xfId="0" applyFont="1" applyFill="1" applyBorder="1" applyAlignment="1">
      <alignment horizontal="left"/>
    </xf>
    <xf numFmtId="0" fontId="7" fillId="24" borderId="17" xfId="0" applyFont="1" applyFill="1" applyBorder="1" applyAlignment="1">
      <alignment wrapText="1"/>
    </xf>
    <xf numFmtId="0" fontId="7" fillId="24" borderId="26" xfId="0" applyFont="1" applyFill="1" applyBorder="1" applyAlignment="1">
      <alignment wrapText="1"/>
    </xf>
    <xf numFmtId="0" fontId="7" fillId="24" borderId="17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/>
    </xf>
    <xf numFmtId="0" fontId="7" fillId="24" borderId="0" xfId="0" applyNumberFormat="1" applyFont="1" applyFill="1" applyBorder="1" applyAlignment="1">
      <alignment wrapText="1"/>
    </xf>
    <xf numFmtId="165" fontId="2" fillId="24" borderId="0" xfId="0" applyNumberFormat="1" applyFont="1" applyFill="1" applyBorder="1"/>
    <xf numFmtId="0" fontId="7" fillId="24" borderId="32" xfId="0" applyFont="1" applyFill="1" applyBorder="1" applyAlignment="1">
      <alignment horizontal="center"/>
    </xf>
    <xf numFmtId="0" fontId="7" fillId="24" borderId="33" xfId="0" applyNumberFormat="1" applyFont="1" applyFill="1" applyBorder="1" applyAlignment="1">
      <alignment wrapText="1"/>
    </xf>
    <xf numFmtId="4" fontId="2" fillId="24" borderId="33" xfId="0" applyNumberFormat="1" applyFont="1" applyFill="1" applyBorder="1"/>
    <xf numFmtId="10" fontId="2" fillId="24" borderId="34" xfId="37" applyNumberFormat="1" applyFont="1" applyFill="1" applyBorder="1"/>
    <xf numFmtId="0" fontId="6" fillId="24" borderId="60" xfId="0" applyFont="1" applyFill="1" applyBorder="1"/>
    <xf numFmtId="0" fontId="6" fillId="24" borderId="61" xfId="0" applyNumberFormat="1" applyFont="1" applyFill="1" applyBorder="1" applyAlignment="1">
      <alignment wrapText="1"/>
    </xf>
    <xf numFmtId="4" fontId="6" fillId="24" borderId="61" xfId="0" applyNumberFormat="1" applyFont="1" applyFill="1" applyBorder="1"/>
    <xf numFmtId="10" fontId="6" fillId="24" borderId="62" xfId="37" applyNumberFormat="1" applyFont="1" applyFill="1" applyBorder="1"/>
    <xf numFmtId="0" fontId="6" fillId="24" borderId="17" xfId="0" applyFont="1" applyFill="1" applyBorder="1"/>
    <xf numFmtId="0" fontId="6" fillId="24" borderId="18" xfId="0" applyNumberFormat="1" applyFont="1" applyFill="1" applyBorder="1" applyAlignment="1">
      <alignment wrapText="1"/>
    </xf>
    <xf numFmtId="4" fontId="6" fillId="24" borderId="18" xfId="0" applyNumberFormat="1" applyFont="1" applyFill="1" applyBorder="1"/>
    <xf numFmtId="0" fontId="7" fillId="24" borderId="26" xfId="0" applyFont="1" applyFill="1" applyBorder="1" applyAlignment="1">
      <alignment horizontal="left"/>
    </xf>
    <xf numFmtId="0" fontId="6" fillId="24" borderId="39" xfId="0" applyNumberFormat="1" applyFont="1" applyFill="1" applyBorder="1" applyAlignment="1">
      <alignment wrapText="1"/>
    </xf>
    <xf numFmtId="4" fontId="2" fillId="24" borderId="55" xfId="0" applyNumberFormat="1" applyFont="1" applyFill="1" applyBorder="1"/>
    <xf numFmtId="0" fontId="6" fillId="24" borderId="14" xfId="0" applyNumberFormat="1" applyFont="1" applyFill="1" applyBorder="1" applyAlignment="1">
      <alignment wrapText="1"/>
    </xf>
    <xf numFmtId="4" fontId="6" fillId="24" borderId="14" xfId="0" applyNumberFormat="1" applyFont="1" applyFill="1" applyBorder="1" applyAlignment="1">
      <alignment horizontal="right" wrapText="1"/>
    </xf>
    <xf numFmtId="0" fontId="6" fillId="24" borderId="23" xfId="0" applyFont="1" applyFill="1" applyBorder="1" applyAlignment="1">
      <alignment wrapText="1"/>
    </xf>
    <xf numFmtId="0" fontId="7" fillId="24" borderId="32" xfId="0" applyFont="1" applyFill="1" applyBorder="1" applyAlignment="1">
      <alignment horizontal="left"/>
    </xf>
    <xf numFmtId="0" fontId="6" fillId="24" borderId="17" xfId="0" applyFont="1" applyFill="1" applyBorder="1" applyAlignment="1">
      <alignment horizontal="left"/>
    </xf>
    <xf numFmtId="0" fontId="6" fillId="24" borderId="60" xfId="0" applyFont="1" applyFill="1" applyBorder="1" applyAlignment="1">
      <alignment horizontal="left"/>
    </xf>
    <xf numFmtId="0" fontId="6" fillId="24" borderId="32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43" fontId="6" fillId="24" borderId="12" xfId="0" applyNumberFormat="1" applyFont="1" applyFill="1" applyBorder="1" applyAlignment="1">
      <alignment horizontal="right" wrapText="1"/>
    </xf>
    <xf numFmtId="164" fontId="2" fillId="24" borderId="50" xfId="0" applyNumberFormat="1" applyFont="1" applyFill="1" applyBorder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4" fontId="2" fillId="0" borderId="0" xfId="0" applyNumberFormat="1" applyFont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28" fillId="0" borderId="0" xfId="35" applyNumberFormat="1" applyFont="1"/>
    <xf numFmtId="0" fontId="0" fillId="0" borderId="0" xfId="0" applyFill="1"/>
    <xf numFmtId="4" fontId="0" fillId="0" borderId="0" xfId="0" applyNumberFormat="1" applyFill="1"/>
    <xf numFmtId="4" fontId="31" fillId="0" borderId="0" xfId="0" applyNumberFormat="1" applyFont="1" applyFill="1"/>
    <xf numFmtId="4" fontId="6" fillId="0" borderId="16" xfId="0" applyNumberFormat="1" applyFont="1" applyFill="1" applyBorder="1"/>
    <xf numFmtId="4" fontId="6" fillId="0" borderId="24" xfId="0" applyNumberFormat="1" applyFont="1" applyFill="1" applyBorder="1"/>
    <xf numFmtId="4" fontId="2" fillId="0" borderId="55" xfId="0" applyNumberFormat="1" applyFont="1" applyFill="1" applyBorder="1"/>
    <xf numFmtId="43" fontId="31" fillId="0" borderId="0" xfId="0" applyNumberFormat="1" applyFont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2" fillId="0" borderId="0" xfId="0" applyFont="1"/>
    <xf numFmtId="0" fontId="2" fillId="24" borderId="17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wrapText="1"/>
    </xf>
    <xf numFmtId="0" fontId="2" fillId="24" borderId="39" xfId="0" applyFont="1" applyFill="1" applyBorder="1" applyAlignment="1">
      <alignment wrapText="1"/>
    </xf>
    <xf numFmtId="0" fontId="2" fillId="24" borderId="26" xfId="0" applyFont="1" applyFill="1" applyBorder="1" applyAlignment="1">
      <alignment horizontal="left" wrapText="1"/>
    </xf>
    <xf numFmtId="0" fontId="2" fillId="24" borderId="57" xfId="0" applyFont="1" applyFill="1" applyBorder="1" applyAlignment="1">
      <alignment wrapText="1"/>
    </xf>
    <xf numFmtId="0" fontId="2" fillId="24" borderId="20" xfId="0" applyFont="1" applyFill="1" applyBorder="1" applyAlignment="1">
      <alignment horizontal="left" wrapText="1"/>
    </xf>
    <xf numFmtId="0" fontId="2" fillId="24" borderId="40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/>
    </xf>
    <xf numFmtId="0" fontId="2" fillId="24" borderId="17" xfId="0" applyFont="1" applyFill="1" applyBorder="1" applyAlignment="1">
      <alignment wrapText="1"/>
    </xf>
    <xf numFmtId="0" fontId="2" fillId="24" borderId="26" xfId="0" applyFont="1" applyFill="1" applyBorder="1" applyAlignment="1">
      <alignment wrapText="1"/>
    </xf>
    <xf numFmtId="0" fontId="2" fillId="24" borderId="27" xfId="0" applyFont="1" applyFill="1" applyBorder="1" applyAlignment="1">
      <alignment wrapText="1"/>
    </xf>
    <xf numFmtId="0" fontId="2" fillId="24" borderId="17" xfId="0" applyFont="1" applyFill="1" applyBorder="1" applyAlignment="1">
      <alignment horizontal="left"/>
    </xf>
    <xf numFmtId="0" fontId="2" fillId="24" borderId="18" xfId="0" applyNumberFormat="1" applyFont="1" applyFill="1" applyBorder="1" applyAlignment="1">
      <alignment wrapText="1"/>
    </xf>
    <xf numFmtId="0" fontId="2" fillId="24" borderId="26" xfId="0" applyFont="1" applyFill="1" applyBorder="1" applyAlignment="1">
      <alignment horizontal="left"/>
    </xf>
    <xf numFmtId="0" fontId="2" fillId="24" borderId="27" xfId="0" applyNumberFormat="1" applyFont="1" applyFill="1" applyBorder="1" applyAlignment="1">
      <alignment wrapText="1"/>
    </xf>
    <xf numFmtId="0" fontId="2" fillId="24" borderId="20" xfId="0" applyFont="1" applyFill="1" applyBorder="1" applyAlignment="1">
      <alignment horizontal="left"/>
    </xf>
    <xf numFmtId="0" fontId="2" fillId="24" borderId="19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 horizontal="left"/>
    </xf>
    <xf numFmtId="0" fontId="2" fillId="24" borderId="0" xfId="0" applyNumberFormat="1" applyFont="1" applyFill="1" applyBorder="1" applyAlignment="1">
      <alignment wrapText="1"/>
    </xf>
    <xf numFmtId="172" fontId="0" fillId="0" borderId="0" xfId="0" applyNumberFormat="1"/>
    <xf numFmtId="0" fontId="6" fillId="24" borderId="38" xfId="0" applyFont="1" applyFill="1" applyBorder="1" applyAlignment="1">
      <alignment wrapText="1"/>
    </xf>
    <xf numFmtId="0" fontId="7" fillId="24" borderId="87" xfId="0" applyFont="1" applyFill="1" applyBorder="1" applyAlignment="1">
      <alignment wrapText="1"/>
    </xf>
    <xf numFmtId="0" fontId="7" fillId="24" borderId="88" xfId="0" applyFont="1" applyFill="1" applyBorder="1" applyAlignment="1">
      <alignment wrapText="1"/>
    </xf>
    <xf numFmtId="0" fontId="6" fillId="24" borderId="87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165" fontId="54" fillId="24" borderId="0" xfId="0" applyNumberFormat="1" applyFont="1" applyFill="1" applyBorder="1"/>
    <xf numFmtId="43" fontId="6" fillId="24" borderId="53" xfId="0" applyNumberFormat="1" applyFont="1" applyFill="1" applyBorder="1" applyAlignment="1">
      <alignment horizontal="right" wrapText="1"/>
    </xf>
    <xf numFmtId="43" fontId="6" fillId="24" borderId="51" xfId="0" applyNumberFormat="1" applyFont="1" applyFill="1" applyBorder="1" applyAlignment="1">
      <alignment horizontal="right" wrapText="1"/>
    </xf>
    <xf numFmtId="43" fontId="2" fillId="24" borderId="51" xfId="0" applyNumberFormat="1" applyFont="1" applyFill="1" applyBorder="1" applyAlignment="1">
      <alignment horizontal="right" wrapText="1"/>
    </xf>
    <xf numFmtId="43" fontId="2" fillId="24" borderId="59" xfId="0" applyNumberFormat="1" applyFont="1" applyFill="1" applyBorder="1" applyAlignment="1">
      <alignment horizontal="right" wrapText="1"/>
    </xf>
    <xf numFmtId="43" fontId="6" fillId="24" borderId="59" xfId="0" applyNumberFormat="1" applyFont="1" applyFill="1" applyBorder="1" applyAlignment="1">
      <alignment horizontal="right" wrapText="1"/>
    </xf>
    <xf numFmtId="43" fontId="6" fillId="24" borderId="13" xfId="0" applyNumberFormat="1" applyFont="1" applyFill="1" applyBorder="1" applyAlignment="1">
      <alignment horizontal="right" wrapText="1"/>
    </xf>
    <xf numFmtId="164" fontId="2" fillId="24" borderId="51" xfId="0" applyNumberFormat="1" applyFont="1" applyFill="1" applyBorder="1"/>
    <xf numFmtId="164" fontId="2" fillId="24" borderId="59" xfId="0" applyNumberFormat="1" applyFont="1" applyFill="1" applyBorder="1"/>
    <xf numFmtId="4" fontId="2" fillId="24" borderId="58" xfId="0" applyNumberFormat="1" applyFont="1" applyFill="1" applyBorder="1"/>
    <xf numFmtId="165" fontId="2" fillId="24" borderId="51" xfId="0" applyNumberFormat="1" applyFont="1" applyFill="1" applyBorder="1"/>
    <xf numFmtId="165" fontId="2" fillId="24" borderId="52" xfId="0" applyNumberFormat="1" applyFont="1" applyFill="1" applyBorder="1"/>
    <xf numFmtId="0" fontId="6" fillId="24" borderId="10" xfId="0" applyFont="1" applyFill="1" applyBorder="1" applyAlignment="1">
      <alignment wrapText="1"/>
    </xf>
    <xf numFmtId="4" fontId="2" fillId="24" borderId="86" xfId="0" applyNumberFormat="1" applyFont="1" applyFill="1" applyBorder="1"/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/>
    </xf>
    <xf numFmtId="0" fontId="6" fillId="24" borderId="39" xfId="0" applyFont="1" applyFill="1" applyBorder="1" applyAlignment="1">
      <alignment wrapText="1"/>
    </xf>
    <xf numFmtId="4" fontId="53" fillId="24" borderId="16" xfId="0" applyNumberFormat="1" applyFont="1" applyFill="1" applyBorder="1"/>
    <xf numFmtId="4" fontId="56" fillId="24" borderId="0" xfId="0" applyNumberFormat="1" applyFont="1" applyFill="1"/>
    <xf numFmtId="43" fontId="0" fillId="0" borderId="0" xfId="0" applyNumberFormat="1" applyAlignment="1">
      <alignment horizontal="right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43" fontId="56" fillId="24" borderId="0" xfId="0" applyNumberFormat="1" applyFont="1" applyFill="1" applyBorder="1" applyAlignment="1">
      <alignment wrapText="1"/>
    </xf>
    <xf numFmtId="43" fontId="53" fillId="24" borderId="0" xfId="0" applyNumberFormat="1" applyFont="1" applyFill="1" applyBorder="1" applyAlignment="1">
      <alignment horizontal="right" wrapText="1"/>
    </xf>
    <xf numFmtId="43" fontId="6" fillId="0" borderId="55" xfId="0" applyNumberFormat="1" applyFont="1" applyFill="1" applyBorder="1" applyAlignment="1">
      <alignment horizontal="right" wrapText="1"/>
    </xf>
    <xf numFmtId="43" fontId="6" fillId="0" borderId="25" xfId="0" applyNumberFormat="1" applyFont="1" applyFill="1" applyBorder="1" applyAlignment="1">
      <alignment horizontal="right" wrapText="1"/>
    </xf>
    <xf numFmtId="43" fontId="2" fillId="0" borderId="25" xfId="0" applyNumberFormat="1" applyFont="1" applyFill="1" applyBorder="1" applyAlignment="1">
      <alignment horizontal="right" wrapText="1"/>
    </xf>
    <xf numFmtId="43" fontId="2" fillId="0" borderId="50" xfId="0" applyNumberFormat="1" applyFont="1" applyFill="1" applyBorder="1" applyAlignment="1">
      <alignment horizontal="right" wrapText="1"/>
    </xf>
    <xf numFmtId="43" fontId="6" fillId="0" borderId="12" xfId="0" applyNumberFormat="1" applyFont="1" applyFill="1" applyBorder="1" applyAlignment="1">
      <alignment horizontal="right" wrapText="1"/>
    </xf>
    <xf numFmtId="164" fontId="2" fillId="0" borderId="50" xfId="0" applyNumberFormat="1" applyFont="1" applyFill="1" applyBorder="1"/>
    <xf numFmtId="165" fontId="2" fillId="0" borderId="35" xfId="0" applyNumberFormat="1" applyFont="1" applyFill="1" applyBorder="1"/>
    <xf numFmtId="43" fontId="6" fillId="24" borderId="37" xfId="0" applyNumberFormat="1" applyFont="1" applyFill="1" applyBorder="1" applyAlignment="1">
      <alignment horizontal="right" wrapText="1"/>
    </xf>
    <xf numFmtId="43" fontId="6" fillId="24" borderId="50" xfId="0" applyNumberFormat="1" applyFont="1" applyFill="1" applyBorder="1" applyAlignment="1">
      <alignment horizontal="right" wrapText="1"/>
    </xf>
    <xf numFmtId="165" fontId="2" fillId="24" borderId="36" xfId="0" applyNumberFormat="1" applyFont="1" applyFill="1" applyBorder="1"/>
    <xf numFmtId="165" fontId="2" fillId="0" borderId="25" xfId="0" applyNumberFormat="1" applyFont="1" applyFill="1" applyBorder="1"/>
    <xf numFmtId="164" fontId="2" fillId="24" borderId="85" xfId="0" applyNumberFormat="1" applyFont="1" applyFill="1" applyBorder="1"/>
    <xf numFmtId="165" fontId="2" fillId="24" borderId="86" xfId="0" applyNumberFormat="1" applyFont="1" applyFill="1" applyBorder="1"/>
    <xf numFmtId="165" fontId="2" fillId="0" borderId="36" xfId="0" applyNumberFormat="1" applyFont="1" applyFill="1" applyBorder="1"/>
    <xf numFmtId="0" fontId="2" fillId="24" borderId="33" xfId="0" applyNumberFormat="1" applyFont="1" applyFill="1" applyBorder="1" applyAlignment="1">
      <alignment wrapText="1"/>
    </xf>
    <xf numFmtId="0" fontId="2" fillId="24" borderId="32" xfId="0" applyFont="1" applyFill="1" applyBorder="1" applyAlignment="1">
      <alignment horizontal="left"/>
    </xf>
    <xf numFmtId="43" fontId="53" fillId="24" borderId="24" xfId="0" applyNumberFormat="1" applyFont="1" applyFill="1" applyBorder="1" applyAlignment="1">
      <alignment horizontal="right" wrapText="1"/>
    </xf>
    <xf numFmtId="43" fontId="54" fillId="24" borderId="55" xfId="0" applyNumberFormat="1" applyFont="1" applyFill="1" applyBorder="1" applyAlignment="1">
      <alignment horizontal="right" wrapText="1"/>
    </xf>
    <xf numFmtId="43" fontId="54" fillId="24" borderId="50" xfId="0" applyNumberFormat="1" applyFont="1" applyFill="1" applyBorder="1" applyAlignment="1">
      <alignment horizontal="right" wrapText="1"/>
    </xf>
    <xf numFmtId="43" fontId="53" fillId="24" borderId="55" xfId="0" applyNumberFormat="1" applyFont="1" applyFill="1" applyBorder="1" applyAlignment="1">
      <alignment horizontal="right" wrapText="1"/>
    </xf>
    <xf numFmtId="43" fontId="54" fillId="24" borderId="36" xfId="0" applyNumberFormat="1" applyFont="1" applyFill="1" applyBorder="1" applyAlignment="1">
      <alignment horizontal="right" wrapText="1"/>
    </xf>
    <xf numFmtId="43" fontId="53" fillId="24" borderId="12" xfId="0" applyNumberFormat="1" applyFont="1" applyFill="1" applyBorder="1" applyAlignment="1">
      <alignment horizontal="right" wrapText="1"/>
    </xf>
    <xf numFmtId="43" fontId="53" fillId="24" borderId="23" xfId="0" applyNumberFormat="1" applyFont="1" applyFill="1" applyBorder="1" applyAlignment="1">
      <alignment horizontal="right" wrapText="1"/>
    </xf>
    <xf numFmtId="43" fontId="54" fillId="24" borderId="18" xfId="0" applyNumberFormat="1" applyFont="1" applyFill="1" applyBorder="1" applyAlignment="1">
      <alignment horizontal="right" wrapText="1"/>
    </xf>
    <xf numFmtId="43" fontId="54" fillId="24" borderId="27" xfId="0" applyNumberFormat="1" applyFont="1" applyFill="1" applyBorder="1" applyAlignment="1">
      <alignment horizontal="right" wrapText="1"/>
    </xf>
    <xf numFmtId="43" fontId="53" fillId="24" borderId="27" xfId="0" applyNumberFormat="1" applyFont="1" applyFill="1" applyBorder="1" applyAlignment="1">
      <alignment horizontal="right" wrapText="1"/>
    </xf>
    <xf numFmtId="43" fontId="54" fillId="24" borderId="19" xfId="0" applyNumberFormat="1" applyFont="1" applyFill="1" applyBorder="1" applyAlignment="1">
      <alignment horizontal="right" wrapText="1"/>
    </xf>
    <xf numFmtId="43" fontId="53" fillId="24" borderId="21" xfId="0" applyNumberFormat="1" applyFont="1" applyFill="1" applyBorder="1" applyAlignment="1">
      <alignment horizontal="right" wrapText="1"/>
    </xf>
    <xf numFmtId="164" fontId="2" fillId="24" borderId="94" xfId="0" applyNumberFormat="1" applyFont="1" applyFill="1" applyBorder="1"/>
    <xf numFmtId="164" fontId="2" fillId="24" borderId="45" xfId="0" applyNumberFormat="1" applyFont="1" applyFill="1" applyBorder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43" fontId="6" fillId="24" borderId="23" xfId="0" applyNumberFormat="1" applyFont="1" applyFill="1" applyBorder="1" applyAlignment="1">
      <alignment horizontal="right" wrapText="1"/>
    </xf>
    <xf numFmtId="43" fontId="6" fillId="24" borderId="24" xfId="0" applyNumberFormat="1" applyFont="1" applyFill="1" applyBorder="1" applyAlignment="1">
      <alignment horizontal="right" wrapText="1"/>
    </xf>
    <xf numFmtId="43" fontId="2" fillId="0" borderId="18" xfId="0" applyNumberFormat="1" applyFont="1" applyFill="1" applyBorder="1" applyAlignment="1">
      <alignment horizontal="right" wrapText="1"/>
    </xf>
    <xf numFmtId="43" fontId="2" fillId="0" borderId="55" xfId="0" applyNumberFormat="1" applyFont="1" applyFill="1" applyBorder="1" applyAlignment="1">
      <alignment horizontal="right" wrapText="1"/>
    </xf>
    <xf numFmtId="43" fontId="2" fillId="24" borderId="18" xfId="0" applyNumberFormat="1" applyFont="1" applyFill="1" applyBorder="1" applyAlignment="1">
      <alignment horizontal="right" wrapText="1"/>
    </xf>
    <xf numFmtId="43" fontId="2" fillId="24" borderId="55" xfId="0" applyNumberFormat="1" applyFont="1" applyFill="1" applyBorder="1" applyAlignment="1">
      <alignment horizontal="right" wrapText="1"/>
    </xf>
    <xf numFmtId="43" fontId="2" fillId="24" borderId="27" xfId="0" applyNumberFormat="1" applyFont="1" applyFill="1" applyBorder="1" applyAlignment="1">
      <alignment horizontal="right" wrapText="1"/>
    </xf>
    <xf numFmtId="43" fontId="2" fillId="24" borderId="50" xfId="0" applyNumberFormat="1" applyFont="1" applyFill="1" applyBorder="1" applyAlignment="1">
      <alignment horizontal="right" wrapText="1"/>
    </xf>
    <xf numFmtId="43" fontId="6" fillId="24" borderId="18" xfId="0" applyNumberFormat="1" applyFont="1" applyFill="1" applyBorder="1" applyAlignment="1">
      <alignment horizontal="right" wrapText="1"/>
    </xf>
    <xf numFmtId="43" fontId="6" fillId="24" borderId="55" xfId="0" applyNumberFormat="1" applyFont="1" applyFill="1" applyBorder="1" applyAlignment="1">
      <alignment horizontal="right" wrapText="1"/>
    </xf>
    <xf numFmtId="43" fontId="2" fillId="24" borderId="19" xfId="0" applyNumberFormat="1" applyFont="1" applyFill="1" applyBorder="1" applyAlignment="1">
      <alignment horizontal="right" wrapText="1"/>
    </xf>
    <xf numFmtId="43" fontId="2" fillId="24" borderId="36" xfId="0" applyNumberFormat="1" applyFont="1" applyFill="1" applyBorder="1" applyAlignment="1">
      <alignment horizontal="right" wrapText="1"/>
    </xf>
    <xf numFmtId="43" fontId="6" fillId="24" borderId="21" xfId="0" applyNumberFormat="1" applyFont="1" applyFill="1" applyBorder="1" applyAlignment="1">
      <alignment horizontal="right" wrapText="1"/>
    </xf>
    <xf numFmtId="164" fontId="2" fillId="0" borderId="51" xfId="0" applyNumberFormat="1" applyFont="1" applyFill="1" applyBorder="1"/>
    <xf numFmtId="164" fontId="2" fillId="0" borderId="25" xfId="0" applyNumberFormat="1" applyFont="1" applyFill="1" applyBorder="1"/>
    <xf numFmtId="164" fontId="2" fillId="0" borderId="59" xfId="0" applyNumberFormat="1" applyFont="1" applyFill="1" applyBorder="1"/>
    <xf numFmtId="4" fontId="2" fillId="0" borderId="58" xfId="0" applyNumberFormat="1" applyFont="1" applyFill="1" applyBorder="1"/>
    <xf numFmtId="165" fontId="2" fillId="0" borderId="50" xfId="0" applyNumberFormat="1" applyFont="1" applyFill="1" applyBorder="1"/>
    <xf numFmtId="0" fontId="2" fillId="0" borderId="51" xfId="0" applyNumberFormat="1" applyFont="1" applyFill="1" applyBorder="1"/>
    <xf numFmtId="165" fontId="2" fillId="0" borderId="31" xfId="0" applyNumberFormat="1" applyFont="1" applyFill="1" applyBorder="1"/>
    <xf numFmtId="165" fontId="2" fillId="0" borderId="52" xfId="0" applyNumberFormat="1" applyFont="1" applyFill="1" applyBorder="1"/>
    <xf numFmtId="43" fontId="6" fillId="0" borderId="53" xfId="0" applyNumberFormat="1" applyFont="1" applyFill="1" applyBorder="1" applyAlignment="1">
      <alignment horizontal="right" wrapText="1"/>
    </xf>
    <xf numFmtId="43" fontId="6" fillId="0" borderId="37" xfId="0" applyNumberFormat="1" applyFont="1" applyFill="1" applyBorder="1" applyAlignment="1">
      <alignment horizontal="right" wrapText="1"/>
    </xf>
    <xf numFmtId="43" fontId="6" fillId="0" borderId="51" xfId="0" applyNumberFormat="1" applyFont="1" applyFill="1" applyBorder="1" applyAlignment="1">
      <alignment horizontal="right" wrapText="1"/>
    </xf>
    <xf numFmtId="43" fontId="2" fillId="0" borderId="51" xfId="0" applyNumberFormat="1" applyFont="1" applyFill="1" applyBorder="1" applyAlignment="1">
      <alignment horizontal="right" wrapText="1"/>
    </xf>
    <xf numFmtId="43" fontId="2" fillId="0" borderId="59" xfId="0" applyNumberFormat="1" applyFont="1" applyFill="1" applyBorder="1" applyAlignment="1">
      <alignment horizontal="right" wrapText="1"/>
    </xf>
    <xf numFmtId="43" fontId="6" fillId="0" borderId="59" xfId="0" applyNumberFormat="1" applyFont="1" applyFill="1" applyBorder="1" applyAlignment="1">
      <alignment horizontal="right" wrapText="1"/>
    </xf>
    <xf numFmtId="43" fontId="6" fillId="0" borderId="50" xfId="0" applyNumberFormat="1" applyFont="1" applyFill="1" applyBorder="1" applyAlignment="1">
      <alignment horizontal="right" wrapText="1"/>
    </xf>
    <xf numFmtId="43" fontId="6" fillId="0" borderId="13" xfId="0" applyNumberFormat="1" applyFont="1" applyFill="1" applyBorder="1" applyAlignment="1">
      <alignment horizontal="right" wrapText="1"/>
    </xf>
    <xf numFmtId="43" fontId="6" fillId="0" borderId="21" xfId="0" applyNumberFormat="1" applyFont="1" applyFill="1" applyBorder="1" applyAlignment="1">
      <alignment horizontal="right" wrapText="1"/>
    </xf>
    <xf numFmtId="164" fontId="2" fillId="24" borderId="82" xfId="0" applyNumberFormat="1" applyFont="1" applyFill="1" applyBorder="1"/>
    <xf numFmtId="164" fontId="2" fillId="24" borderId="86" xfId="0" applyNumberFormat="1" applyFont="1" applyFill="1" applyBorder="1"/>
    <xf numFmtId="4" fontId="2" fillId="24" borderId="84" xfId="0" applyNumberFormat="1" applyFont="1" applyFill="1" applyBorder="1"/>
    <xf numFmtId="164" fontId="2" fillId="24" borderId="83" xfId="0" applyNumberFormat="1" applyFont="1" applyFill="1" applyBorder="1"/>
    <xf numFmtId="164" fontId="2" fillId="0" borderId="96" xfId="0" applyNumberFormat="1" applyFont="1" applyBorder="1"/>
    <xf numFmtId="164" fontId="2" fillId="0" borderId="18" xfId="0" applyNumberFormat="1" applyFont="1" applyBorder="1"/>
    <xf numFmtId="165" fontId="2" fillId="24" borderId="50" xfId="0" applyNumberFormat="1" applyFont="1" applyFill="1" applyBorder="1"/>
    <xf numFmtId="0" fontId="2" fillId="24" borderId="51" xfId="0" applyNumberFormat="1" applyFont="1" applyFill="1" applyBorder="1"/>
    <xf numFmtId="165" fontId="2" fillId="24" borderId="31" xfId="0" applyNumberFormat="1" applyFont="1" applyFill="1" applyBorder="1"/>
    <xf numFmtId="43" fontId="6" fillId="24" borderId="27" xfId="0" applyNumberFormat="1" applyFont="1" applyFill="1" applyBorder="1" applyAlignment="1">
      <alignment horizontal="right" wrapText="1"/>
    </xf>
    <xf numFmtId="165" fontId="2" fillId="0" borderId="35" xfId="0" applyNumberFormat="1" applyFont="1" applyBorder="1"/>
    <xf numFmtId="4" fontId="59" fillId="0" borderId="0" xfId="0" applyNumberFormat="1" applyFont="1"/>
    <xf numFmtId="4" fontId="60" fillId="0" borderId="96" xfId="0" applyNumberFormat="1" applyFont="1" applyBorder="1"/>
    <xf numFmtId="164" fontId="2" fillId="24" borderId="31" xfId="0" applyNumberFormat="1" applyFont="1" applyFill="1" applyBorder="1"/>
    <xf numFmtId="164" fontId="2" fillId="24" borderId="36" xfId="0" applyNumberFormat="1" applyFont="1" applyFill="1" applyBorder="1"/>
    <xf numFmtId="164" fontId="2" fillId="0" borderId="31" xfId="0" applyNumberFormat="1" applyFont="1" applyBorder="1"/>
    <xf numFmtId="4" fontId="2" fillId="0" borderId="96" xfId="0" applyNumberFormat="1" applyFont="1" applyBorder="1"/>
    <xf numFmtId="164" fontId="2" fillId="24" borderId="55" xfId="0" applyNumberFormat="1" applyFont="1" applyFill="1" applyBorder="1"/>
    <xf numFmtId="164" fontId="2" fillId="24" borderId="35" xfId="0" applyNumberFormat="1" applyFont="1" applyFill="1" applyBorder="1"/>
    <xf numFmtId="4" fontId="59" fillId="0" borderId="96" xfId="0" applyNumberFormat="1" applyFont="1" applyBorder="1"/>
    <xf numFmtId="4" fontId="59" fillId="0" borderId="94" xfId="0" applyNumberFormat="1" applyFont="1" applyBorder="1"/>
    <xf numFmtId="43" fontId="2" fillId="24" borderId="94" xfId="0" applyNumberFormat="1" applyFont="1" applyFill="1" applyBorder="1" applyAlignment="1">
      <alignment horizontal="right" wrapText="1"/>
    </xf>
    <xf numFmtId="43" fontId="6" fillId="24" borderId="96" xfId="0" applyNumberFormat="1" applyFont="1" applyFill="1" applyBorder="1" applyAlignment="1">
      <alignment horizontal="right" wrapText="1"/>
    </xf>
    <xf numFmtId="4" fontId="59" fillId="0" borderId="62" xfId="0" applyNumberFormat="1" applyFont="1" applyBorder="1"/>
    <xf numFmtId="4" fontId="2" fillId="24" borderId="80" xfId="0" applyNumberFormat="1" applyFont="1" applyFill="1" applyBorder="1"/>
    <xf numFmtId="0" fontId="2" fillId="24" borderId="87" xfId="0" applyFont="1" applyFill="1" applyBorder="1" applyAlignment="1">
      <alignment wrapText="1"/>
    </xf>
    <xf numFmtId="43" fontId="2" fillId="24" borderId="80" xfId="0" applyNumberFormat="1" applyFont="1" applyFill="1" applyBorder="1" applyAlignment="1">
      <alignment horizontal="right" wrapText="1"/>
    </xf>
    <xf numFmtId="0" fontId="2" fillId="24" borderId="88" xfId="0" applyFont="1" applyFill="1" applyBorder="1" applyAlignment="1">
      <alignment wrapText="1"/>
    </xf>
    <xf numFmtId="43" fontId="2" fillId="24" borderId="81" xfId="0" applyNumberFormat="1" applyFont="1" applyFill="1" applyBorder="1" applyAlignment="1">
      <alignment horizontal="right" wrapText="1"/>
    </xf>
    <xf numFmtId="43" fontId="6" fillId="24" borderId="80" xfId="0" applyNumberFormat="1" applyFont="1" applyFill="1" applyBorder="1" applyAlignment="1">
      <alignment horizontal="right" wrapText="1"/>
    </xf>
    <xf numFmtId="4" fontId="2" fillId="24" borderId="82" xfId="0" applyNumberFormat="1" applyFont="1" applyFill="1" applyBorder="1"/>
    <xf numFmtId="43" fontId="6" fillId="24" borderId="14" xfId="0" applyNumberFormat="1" applyFont="1" applyFill="1" applyBorder="1" applyAlignment="1">
      <alignment horizontal="right" wrapText="1"/>
    </xf>
    <xf numFmtId="43" fontId="6" fillId="0" borderId="80" xfId="0" applyNumberFormat="1" applyFont="1" applyFill="1" applyBorder="1" applyAlignment="1">
      <alignment horizontal="right" wrapText="1"/>
    </xf>
    <xf numFmtId="43" fontId="2" fillId="0" borderId="80" xfId="0" applyNumberFormat="1" applyFont="1" applyFill="1" applyBorder="1" applyAlignment="1">
      <alignment horizontal="right" wrapText="1"/>
    </xf>
    <xf numFmtId="43" fontId="2" fillId="0" borderId="81" xfId="0" applyNumberFormat="1" applyFont="1" applyFill="1" applyBorder="1" applyAlignment="1">
      <alignment horizontal="right" wrapText="1"/>
    </xf>
    <xf numFmtId="43" fontId="6" fillId="24" borderId="81" xfId="0" applyNumberFormat="1" applyFont="1" applyFill="1" applyBorder="1" applyAlignment="1">
      <alignment horizontal="right" wrapText="1"/>
    </xf>
    <xf numFmtId="165" fontId="2" fillId="24" borderId="82" xfId="0" applyNumberFormat="1" applyFont="1" applyFill="1" applyBorder="1"/>
    <xf numFmtId="165" fontId="2" fillId="0" borderId="82" xfId="0" applyNumberFormat="1" applyFont="1" applyFill="1" applyBorder="1"/>
    <xf numFmtId="4" fontId="59" fillId="0" borderId="80" xfId="0" applyNumberFormat="1" applyFont="1" applyBorder="1"/>
    <xf numFmtId="4" fontId="2" fillId="0" borderId="80" xfId="0" applyNumberFormat="1" applyFont="1" applyBorder="1"/>
    <xf numFmtId="165" fontId="2" fillId="24" borderId="35" xfId="0" applyNumberFormat="1" applyFont="1" applyFill="1" applyBorder="1"/>
    <xf numFmtId="43" fontId="6" fillId="0" borderId="24" xfId="0" applyNumberFormat="1" applyFont="1" applyFill="1" applyBorder="1" applyAlignment="1">
      <alignment horizontal="right" wrapText="1"/>
    </xf>
    <xf numFmtId="43" fontId="2" fillId="0" borderId="36" xfId="0" applyNumberFormat="1" applyFont="1" applyFill="1" applyBorder="1" applyAlignment="1">
      <alignment horizontal="right" wrapText="1"/>
    </xf>
    <xf numFmtId="4" fontId="2" fillId="0" borderId="31" xfId="122" applyNumberFormat="1" applyFont="1" applyFill="1" applyBorder="1" applyAlignment="1">
      <alignment horizontal="right" vertical="top"/>
    </xf>
    <xf numFmtId="164" fontId="2" fillId="0" borderId="31" xfId="122" applyNumberFormat="1" applyFont="1" applyFill="1" applyBorder="1" applyAlignment="1">
      <alignment horizontal="right" vertical="top"/>
    </xf>
    <xf numFmtId="164" fontId="2" fillId="0" borderId="35" xfId="122" applyNumberFormat="1" applyFont="1" applyFill="1" applyBorder="1" applyAlignment="1">
      <alignment horizontal="right" vertical="top"/>
    </xf>
    <xf numFmtId="4" fontId="2" fillId="0" borderId="31" xfId="122" applyNumberFormat="1" applyFont="1" applyBorder="1" applyAlignment="1">
      <alignment horizontal="right" vertical="top"/>
    </xf>
    <xf numFmtId="164" fontId="2" fillId="0" borderId="31" xfId="122" applyNumberFormat="1" applyFont="1" applyBorder="1" applyAlignment="1">
      <alignment horizontal="right" vertical="top"/>
    </xf>
    <xf numFmtId="164" fontId="2" fillId="0" borderId="35" xfId="122" applyNumberFormat="1" applyFont="1" applyBorder="1" applyAlignment="1">
      <alignment horizontal="right" vertical="top"/>
    </xf>
    <xf numFmtId="164" fontId="2" fillId="0" borderId="85" xfId="122" applyNumberFormat="1" applyFont="1" applyBorder="1" applyAlignment="1">
      <alignment horizontal="right" vertical="top"/>
    </xf>
    <xf numFmtId="4" fontId="2" fillId="0" borderId="45" xfId="122" applyNumberFormat="1" applyFont="1" applyBorder="1" applyAlignment="1">
      <alignment horizontal="right" vertical="top"/>
    </xf>
    <xf numFmtId="167" fontId="2" fillId="0" borderId="25" xfId="0" applyNumberFormat="1" applyFont="1" applyFill="1" applyBorder="1" applyAlignment="1">
      <alignment horizontal="right" wrapText="1"/>
    </xf>
    <xf numFmtId="164" fontId="2" fillId="0" borderId="81" xfId="0" applyNumberFormat="1" applyFont="1" applyBorder="1"/>
    <xf numFmtId="164" fontId="2" fillId="0" borderId="80" xfId="0" applyNumberFormat="1" applyFont="1" applyBorder="1"/>
    <xf numFmtId="164" fontId="2" fillId="0" borderId="0" xfId="0" applyNumberFormat="1" applyFont="1"/>
    <xf numFmtId="164" fontId="2" fillId="0" borderId="19" xfId="0" applyNumberFormat="1" applyFont="1" applyBorder="1"/>
    <xf numFmtId="164" fontId="2" fillId="0" borderId="49" xfId="122" applyNumberFormat="1" applyFont="1" applyBorder="1" applyAlignment="1">
      <alignment horizontal="right" vertical="top"/>
    </xf>
    <xf numFmtId="164" fontId="2" fillId="0" borderId="94" xfId="122" applyNumberFormat="1" applyFont="1" applyBorder="1" applyAlignment="1">
      <alignment horizontal="right" vertical="top"/>
    </xf>
    <xf numFmtId="164" fontId="2" fillId="0" borderId="95" xfId="122" applyNumberFormat="1" applyFont="1" applyBorder="1" applyAlignment="1">
      <alignment horizontal="right" vertical="top"/>
    </xf>
    <xf numFmtId="165" fontId="2" fillId="24" borderId="93" xfId="0" applyNumberFormat="1" applyFont="1" applyFill="1" applyBorder="1"/>
    <xf numFmtId="164" fontId="2" fillId="0" borderId="36" xfId="122" applyNumberFormat="1" applyFont="1" applyBorder="1" applyAlignment="1">
      <alignment horizontal="right" vertical="top"/>
    </xf>
    <xf numFmtId="164" fontId="2" fillId="0" borderId="45" xfId="122" applyNumberFormat="1" applyFont="1" applyBorder="1" applyAlignment="1">
      <alignment horizontal="right" vertical="top"/>
    </xf>
    <xf numFmtId="4" fontId="2" fillId="0" borderId="94" xfId="122" applyNumberFormat="1" applyFont="1" applyBorder="1" applyAlignment="1">
      <alignment horizontal="right" vertical="top"/>
    </xf>
    <xf numFmtId="43" fontId="2" fillId="24" borderId="31" xfId="0" applyNumberFormat="1" applyFont="1" applyFill="1" applyBorder="1" applyAlignment="1">
      <alignment horizontal="right" wrapText="1"/>
    </xf>
    <xf numFmtId="4" fontId="2" fillId="0" borderId="31" xfId="50" applyNumberFormat="1" applyFont="1" applyBorder="1" applyAlignment="1">
      <alignment horizontal="right" vertical="top"/>
    </xf>
    <xf numFmtId="0" fontId="6" fillId="24" borderId="29" xfId="0" applyFont="1" applyFill="1" applyBorder="1" applyAlignment="1">
      <alignment horizontal="center" wrapText="1"/>
    </xf>
    <xf numFmtId="0" fontId="6" fillId="24" borderId="53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6" fillId="24" borderId="11" xfId="0" applyFont="1" applyFill="1" applyBorder="1" applyAlignment="1">
      <alignment wrapText="1"/>
    </xf>
    <xf numFmtId="0" fontId="6" fillId="24" borderId="54" xfId="0" applyFont="1" applyFill="1" applyBorder="1" applyAlignment="1">
      <alignment wrapText="1"/>
    </xf>
    <xf numFmtId="0" fontId="6" fillId="24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47" xfId="0" applyFont="1" applyBorder="1" applyAlignment="1">
      <alignment wrapText="1"/>
    </xf>
    <xf numFmtId="0" fontId="2" fillId="0" borderId="47" xfId="0" applyFont="1" applyBorder="1" applyAlignment="1">
      <alignment horizontal="center" wrapText="1"/>
    </xf>
    <xf numFmtId="0" fontId="2" fillId="0" borderId="0" xfId="0" applyFont="1" applyAlignment="1"/>
    <xf numFmtId="0" fontId="6" fillId="24" borderId="10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wrapText="1"/>
    </xf>
  </cellXfs>
  <cellStyles count="125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e" xfId="27" builtinId="26" customBuiltin="1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e" xfId="34" builtinId="28" customBuiltin="1"/>
    <cellStyle name="Normalny" xfId="0" builtinId="0"/>
    <cellStyle name="Normalny 2" xfId="44"/>
    <cellStyle name="Normalny 2 2" xfId="124"/>
    <cellStyle name="Normalny 3" xfId="50"/>
    <cellStyle name="Normalny 3 2" xfId="123"/>
    <cellStyle name="Normalny 4" xfId="56"/>
    <cellStyle name="Normalny 4 2" xfId="112"/>
    <cellStyle name="Normalny 5" xfId="98"/>
    <cellStyle name="Normalny 5 2" xfId="119"/>
    <cellStyle name="Normalny 6" xfId="101"/>
    <cellStyle name="Normalny 7" xfId="121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e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80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9.5703125" customWidth="1"/>
    <col min="8" max="8" width="15.85546875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14.25">
      <c r="B5" s="355" t="s">
        <v>1</v>
      </c>
      <c r="C5" s="355"/>
      <c r="D5" s="355"/>
      <c r="E5" s="355"/>
    </row>
    <row r="6" spans="2:8" ht="14.25" customHeight="1">
      <c r="B6" s="356" t="s">
        <v>84</v>
      </c>
      <c r="C6" s="356"/>
      <c r="D6" s="356"/>
      <c r="E6" s="356"/>
    </row>
    <row r="7" spans="2:8" ht="14.25">
      <c r="B7" s="168"/>
      <c r="C7" s="168"/>
      <c r="D7" s="168"/>
      <c r="E7" s="168"/>
    </row>
    <row r="8" spans="2:8" ht="12.75" customHeight="1">
      <c r="B8" s="358" t="s">
        <v>18</v>
      </c>
      <c r="C8" s="358"/>
      <c r="D8" s="358"/>
      <c r="E8" s="358"/>
    </row>
    <row r="9" spans="2:8" ht="15.75" customHeight="1" thickBot="1">
      <c r="B9" s="357" t="s">
        <v>179</v>
      </c>
      <c r="C9" s="357"/>
      <c r="D9" s="357"/>
      <c r="E9" s="357"/>
    </row>
    <row r="10" spans="2:8" ht="13.5" thickBot="1">
      <c r="B10" s="169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93" t="s">
        <v>185</v>
      </c>
      <c r="D11" s="257">
        <f>D12+D13+D14</f>
        <v>227811051.02999997</v>
      </c>
      <c r="E11" s="258">
        <f>E12+E13+E14</f>
        <v>195733005.50999999</v>
      </c>
    </row>
    <row r="12" spans="2:8">
      <c r="B12" s="107" t="s">
        <v>4</v>
      </c>
      <c r="C12" s="69" t="s">
        <v>5</v>
      </c>
      <c r="D12" s="259">
        <f>237762873.6-9957765.27</f>
        <v>227805108.32999998</v>
      </c>
      <c r="E12" s="260">
        <f>206474983.47-10741977.96</f>
        <v>195733005.50999999</v>
      </c>
    </row>
    <row r="13" spans="2:8" ht="12.75" customHeight="1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f>D15</f>
        <v>5942.7</v>
      </c>
      <c r="E14" s="262">
        <f>E15</f>
        <v>0</v>
      </c>
    </row>
    <row r="15" spans="2:8">
      <c r="B15" s="107" t="s">
        <v>182</v>
      </c>
      <c r="C15" s="69" t="s">
        <v>11</v>
      </c>
      <c r="D15" s="261">
        <v>5942.7</v>
      </c>
      <c r="E15" s="262">
        <v>0</v>
      </c>
    </row>
    <row r="16" spans="2:8">
      <c r="B16" s="108" t="s">
        <v>183</v>
      </c>
      <c r="C16" s="92" t="s">
        <v>12</v>
      </c>
      <c r="D16" s="263"/>
      <c r="E16" s="264"/>
    </row>
    <row r="17" spans="2:8">
      <c r="B17" s="9" t="s">
        <v>13</v>
      </c>
      <c r="C17" s="217" t="s">
        <v>65</v>
      </c>
      <c r="D17" s="265">
        <f>SUM(D18:D19)</f>
        <v>692765.75</v>
      </c>
      <c r="E17" s="266">
        <f>SUM(E18:E19)</f>
        <v>1562387.54</v>
      </c>
    </row>
    <row r="18" spans="2:8">
      <c r="B18" s="107" t="s">
        <v>4</v>
      </c>
      <c r="C18" s="69" t="s">
        <v>11</v>
      </c>
      <c r="D18" s="263">
        <v>692765.75</v>
      </c>
      <c r="E18" s="264">
        <v>1562387.54</v>
      </c>
    </row>
    <row r="19" spans="2:8" ht="15" customHeight="1">
      <c r="B19" s="107" t="s">
        <v>6</v>
      </c>
      <c r="C19" s="69" t="s">
        <v>184</v>
      </c>
      <c r="D19" s="261"/>
      <c r="E19" s="262"/>
    </row>
    <row r="20" spans="2:8" ht="13.5" thickBot="1">
      <c r="B20" s="109" t="s">
        <v>8</v>
      </c>
      <c r="C20" s="70" t="s">
        <v>14</v>
      </c>
      <c r="D20" s="267"/>
      <c r="E20" s="268"/>
    </row>
    <row r="21" spans="2:8" ht="13.5" customHeight="1" thickBot="1">
      <c r="B21" s="362" t="s">
        <v>186</v>
      </c>
      <c r="C21" s="363"/>
      <c r="D21" s="269">
        <f>D11-D17</f>
        <v>227118285.27999997</v>
      </c>
      <c r="E21" s="149">
        <f>E11-E17</f>
        <v>194170617.97</v>
      </c>
      <c r="F21" s="78"/>
      <c r="G21" s="163"/>
    </row>
    <row r="22" spans="2:8">
      <c r="B22" s="3"/>
      <c r="C22" s="7"/>
      <c r="D22" s="8"/>
      <c r="E22" s="8"/>
    </row>
    <row r="23" spans="2:8" ht="14.25" customHeight="1">
      <c r="B23" s="358" t="s">
        <v>180</v>
      </c>
      <c r="C23" s="358"/>
      <c r="D23" s="358"/>
      <c r="E23" s="358"/>
    </row>
    <row r="24" spans="2:8" ht="16.5" customHeight="1" thickBot="1">
      <c r="B24" s="357" t="s">
        <v>181</v>
      </c>
      <c r="C24" s="357"/>
      <c r="D24" s="357"/>
      <c r="E24" s="357"/>
    </row>
    <row r="25" spans="2:8" ht="13.5" thickBot="1">
      <c r="B25" s="169"/>
      <c r="C25" s="5" t="s">
        <v>2</v>
      </c>
      <c r="D25" s="71" t="s">
        <v>223</v>
      </c>
      <c r="E25" s="29" t="s">
        <v>267</v>
      </c>
    </row>
    <row r="26" spans="2:8">
      <c r="B26" s="96" t="s">
        <v>15</v>
      </c>
      <c r="C26" s="97" t="s">
        <v>16</v>
      </c>
      <c r="D26" s="278">
        <v>257333726.93000001</v>
      </c>
      <c r="E26" s="279">
        <f>D21</f>
        <v>227118285.27999997</v>
      </c>
      <c r="F26" s="157"/>
    </row>
    <row r="27" spans="2:8">
      <c r="B27" s="9" t="s">
        <v>17</v>
      </c>
      <c r="C27" s="10" t="s">
        <v>187</v>
      </c>
      <c r="D27" s="280">
        <v>-30897351.639999993</v>
      </c>
      <c r="E27" s="225">
        <f>E28-E32</f>
        <v>-33122058.530000001</v>
      </c>
      <c r="F27" s="158"/>
      <c r="G27" s="68"/>
      <c r="H27" s="68"/>
    </row>
    <row r="28" spans="2:8">
      <c r="B28" s="9" t="s">
        <v>18</v>
      </c>
      <c r="C28" s="10" t="s">
        <v>19</v>
      </c>
      <c r="D28" s="280">
        <v>5282857.96</v>
      </c>
      <c r="E28" s="226">
        <v>6369805.71</v>
      </c>
      <c r="F28" s="158"/>
    </row>
    <row r="29" spans="2:8">
      <c r="B29" s="105" t="s">
        <v>4</v>
      </c>
      <c r="C29" s="6" t="s">
        <v>20</v>
      </c>
      <c r="D29" s="281">
        <v>4294339.7</v>
      </c>
      <c r="E29" s="227">
        <v>4740576.58</v>
      </c>
      <c r="F29" s="158"/>
    </row>
    <row r="30" spans="2:8">
      <c r="B30" s="105" t="s">
        <v>6</v>
      </c>
      <c r="C30" s="6" t="s">
        <v>21</v>
      </c>
      <c r="D30" s="281"/>
      <c r="E30" s="227"/>
      <c r="F30" s="158"/>
    </row>
    <row r="31" spans="2:8">
      <c r="B31" s="105" t="s">
        <v>8</v>
      </c>
      <c r="C31" s="6" t="s">
        <v>22</v>
      </c>
      <c r="D31" s="281">
        <v>988518.26</v>
      </c>
      <c r="E31" s="227">
        <v>1629229.13</v>
      </c>
      <c r="F31" s="158"/>
    </row>
    <row r="32" spans="2:8">
      <c r="B32" s="93" t="s">
        <v>23</v>
      </c>
      <c r="C32" s="11" t="s">
        <v>24</v>
      </c>
      <c r="D32" s="280">
        <v>36180209.599999994</v>
      </c>
      <c r="E32" s="226">
        <f>SUM(E33:E39)</f>
        <v>39491864.240000002</v>
      </c>
      <c r="F32" s="158"/>
    </row>
    <row r="33" spans="2:6">
      <c r="B33" s="105" t="s">
        <v>4</v>
      </c>
      <c r="C33" s="6" t="s">
        <v>25</v>
      </c>
      <c r="D33" s="281">
        <v>32199079.379999999</v>
      </c>
      <c r="E33" s="227">
        <f>36049055.53+784212.69</f>
        <v>36833268.219999999</v>
      </c>
      <c r="F33" s="158"/>
    </row>
    <row r="34" spans="2:6">
      <c r="B34" s="105" t="s">
        <v>6</v>
      </c>
      <c r="C34" s="6" t="s">
        <v>26</v>
      </c>
      <c r="D34" s="281"/>
      <c r="E34" s="227"/>
      <c r="F34" s="158"/>
    </row>
    <row r="35" spans="2:6">
      <c r="B35" s="105" t="s">
        <v>8</v>
      </c>
      <c r="C35" s="6" t="s">
        <v>27</v>
      </c>
      <c r="D35" s="281">
        <v>2280749.5599999996</v>
      </c>
      <c r="E35" s="227">
        <v>1850150.43</v>
      </c>
      <c r="F35" s="158"/>
    </row>
    <row r="36" spans="2:6">
      <c r="B36" s="105" t="s">
        <v>9</v>
      </c>
      <c r="C36" s="6" t="s">
        <v>28</v>
      </c>
      <c r="D36" s="281"/>
      <c r="E36" s="227"/>
      <c r="F36" s="158"/>
    </row>
    <row r="37" spans="2:6" ht="25.5">
      <c r="B37" s="105" t="s">
        <v>29</v>
      </c>
      <c r="C37" s="6" t="s">
        <v>30</v>
      </c>
      <c r="D37" s="281"/>
      <c r="E37" s="227"/>
      <c r="F37" s="158"/>
    </row>
    <row r="38" spans="2:6">
      <c r="B38" s="105" t="s">
        <v>31</v>
      </c>
      <c r="C38" s="6" t="s">
        <v>32</v>
      </c>
      <c r="D38" s="281"/>
      <c r="E38" s="227"/>
      <c r="F38" s="158"/>
    </row>
    <row r="39" spans="2:6">
      <c r="B39" s="106" t="s">
        <v>33</v>
      </c>
      <c r="C39" s="12" t="s">
        <v>34</v>
      </c>
      <c r="D39" s="282">
        <v>1700380.66</v>
      </c>
      <c r="E39" s="228">
        <v>808445.59</v>
      </c>
      <c r="F39" s="158"/>
    </row>
    <row r="40" spans="2:6" ht="13.5" thickBot="1">
      <c r="B40" s="98" t="s">
        <v>35</v>
      </c>
      <c r="C40" s="99" t="s">
        <v>36</v>
      </c>
      <c r="D40" s="283">
        <v>681909.99</v>
      </c>
      <c r="E40" s="284">
        <v>174391.22</v>
      </c>
      <c r="F40" s="157"/>
    </row>
    <row r="41" spans="2:6" ht="13.5" thickBot="1">
      <c r="B41" s="100" t="s">
        <v>37</v>
      </c>
      <c r="C41" s="101" t="s">
        <v>38</v>
      </c>
      <c r="D41" s="285">
        <v>227118285.28000003</v>
      </c>
      <c r="E41" s="229">
        <f>E26+E27+E40</f>
        <v>194170617.96999997</v>
      </c>
      <c r="F41" s="159"/>
    </row>
    <row r="42" spans="2:6" ht="13.5" customHeight="1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9.5" customHeight="1" thickBot="1">
      <c r="B44" s="357" t="s">
        <v>204</v>
      </c>
      <c r="C44" s="361"/>
      <c r="D44" s="361"/>
      <c r="E44" s="361"/>
    </row>
    <row r="45" spans="2:6" ht="13.5" thickBot="1">
      <c r="B45" s="4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60"/>
      <c r="E46" s="161"/>
    </row>
    <row r="47" spans="2:6">
      <c r="B47" s="103" t="s">
        <v>4</v>
      </c>
      <c r="C47" s="15" t="s">
        <v>40</v>
      </c>
      <c r="D47" s="270">
        <v>11453892.879713135</v>
      </c>
      <c r="E47" s="271">
        <v>10073175.2467</v>
      </c>
    </row>
    <row r="48" spans="2:6">
      <c r="B48" s="124" t="s">
        <v>6</v>
      </c>
      <c r="C48" s="22" t="s">
        <v>41</v>
      </c>
      <c r="D48" s="272">
        <v>10073175.2467</v>
      </c>
      <c r="E48" s="230">
        <v>8601364.3599500004</v>
      </c>
    </row>
    <row r="49" spans="2:5">
      <c r="B49" s="121" t="s">
        <v>23</v>
      </c>
      <c r="C49" s="125" t="s">
        <v>189</v>
      </c>
      <c r="D49" s="273"/>
      <c r="E49" s="162"/>
    </row>
    <row r="50" spans="2:5">
      <c r="B50" s="103" t="s">
        <v>4</v>
      </c>
      <c r="C50" s="15" t="s">
        <v>40</v>
      </c>
      <c r="D50" s="270">
        <v>22.466922786206901</v>
      </c>
      <c r="E50" s="274">
        <v>22.5468414593803</v>
      </c>
    </row>
    <row r="51" spans="2:5">
      <c r="B51" s="103" t="s">
        <v>6</v>
      </c>
      <c r="C51" s="15" t="s">
        <v>190</v>
      </c>
      <c r="D51" s="275">
        <v>22.344100000000001</v>
      </c>
      <c r="E51" s="276">
        <v>22.381699999999999</v>
      </c>
    </row>
    <row r="52" spans="2:5">
      <c r="B52" s="103" t="s">
        <v>8</v>
      </c>
      <c r="C52" s="15" t="s">
        <v>191</v>
      </c>
      <c r="D52" s="275">
        <v>22.546800000000001</v>
      </c>
      <c r="E52" s="276">
        <v>22.574400000000001</v>
      </c>
    </row>
    <row r="53" spans="2:5" ht="13.5" thickBot="1">
      <c r="B53" s="104" t="s">
        <v>9</v>
      </c>
      <c r="C53" s="17" t="s">
        <v>41</v>
      </c>
      <c r="D53" s="277">
        <v>22.5468414593803</v>
      </c>
      <c r="E53" s="231">
        <v>22.574397484430001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D59+D69</f>
        <v>195733005.50999999</v>
      </c>
      <c r="E58" s="32">
        <f>D58/E21</f>
        <v>1.0080464673612017</v>
      </c>
    </row>
    <row r="59" spans="2:5" ht="25.5">
      <c r="B59" s="124" t="s">
        <v>4</v>
      </c>
      <c r="C59" s="22" t="s">
        <v>44</v>
      </c>
      <c r="D59" s="81">
        <f>205670760-10741977.96</f>
        <v>194928782.03999999</v>
      </c>
      <c r="E59" s="82">
        <f>D59/E21</f>
        <v>1.0039046281972339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v>0</v>
      </c>
      <c r="E64" s="82">
        <v>0</v>
      </c>
    </row>
    <row r="65" spans="2:5" ht="13.5" customHeight="1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804223.47</v>
      </c>
      <c r="E69" s="80">
        <f>D69/E21</f>
        <v>4.1418391639679239E-3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f>D71/E21</f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v>1562387.54</v>
      </c>
      <c r="E73" s="26">
        <f>D73/E21</f>
        <v>8.0464673612018582E-3</v>
      </c>
    </row>
    <row r="74" spans="2:5">
      <c r="B74" s="131" t="s">
        <v>64</v>
      </c>
      <c r="C74" s="122" t="s">
        <v>66</v>
      </c>
      <c r="D74" s="123">
        <f>D58+D71+D72-D73</f>
        <v>194170617.97</v>
      </c>
      <c r="E74" s="67">
        <f>E58+E72-E73</f>
        <v>0.99999999999999989</v>
      </c>
    </row>
    <row r="75" spans="2:5">
      <c r="B75" s="103" t="s">
        <v>4</v>
      </c>
      <c r="C75" s="15" t="s">
        <v>67</v>
      </c>
      <c r="D75" s="79">
        <f>D74</f>
        <v>194170617.97</v>
      </c>
      <c r="E75" s="80">
        <f>E74</f>
        <v>0.99999999999999989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8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81"/>
  <sheetViews>
    <sheetView zoomScale="80" zoomScaleNormal="80" workbookViewId="0">
      <selection activeCell="J25" sqref="J2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5.28515625" customWidth="1"/>
    <col min="8" max="8" width="12.42578125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21" customHeight="1">
      <c r="B5" s="355" t="s">
        <v>1</v>
      </c>
      <c r="C5" s="355"/>
      <c r="D5" s="355"/>
      <c r="E5" s="355"/>
    </row>
    <row r="6" spans="2:8" ht="14.25">
      <c r="B6" s="356" t="s">
        <v>90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29" t="s">
        <v>185</v>
      </c>
      <c r="D11" s="257">
        <v>18530686.300000001</v>
      </c>
      <c r="E11" s="258">
        <f>E12+E13+E14</f>
        <v>16879503.780000001</v>
      </c>
    </row>
    <row r="12" spans="2:8">
      <c r="B12" s="107" t="s">
        <v>4</v>
      </c>
      <c r="C12" s="6" t="s">
        <v>5</v>
      </c>
      <c r="D12" s="261">
        <v>18472199.890000001</v>
      </c>
      <c r="E12" s="262">
        <f>17017688.29-184635.72</f>
        <v>16833052.57</v>
      </c>
    </row>
    <row r="13" spans="2:8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v>58486.41</v>
      </c>
      <c r="E14" s="262">
        <f>E15</f>
        <v>46451.21</v>
      </c>
    </row>
    <row r="15" spans="2:8">
      <c r="B15" s="107" t="s">
        <v>182</v>
      </c>
      <c r="C15" s="69" t="s">
        <v>11</v>
      </c>
      <c r="D15" s="261">
        <v>58486.41</v>
      </c>
      <c r="E15" s="307">
        <v>46451.21</v>
      </c>
    </row>
    <row r="16" spans="2:8">
      <c r="B16" s="108" t="s">
        <v>183</v>
      </c>
      <c r="C16" s="92" t="s">
        <v>12</v>
      </c>
      <c r="D16" s="263"/>
      <c r="E16" s="308"/>
    </row>
    <row r="17" spans="2:7">
      <c r="B17" s="9" t="s">
        <v>13</v>
      </c>
      <c r="C17" s="11" t="s">
        <v>65</v>
      </c>
      <c r="D17" s="296">
        <v>44781.34</v>
      </c>
      <c r="E17" s="309">
        <f>SUM(E18:E19)</f>
        <v>48433.15</v>
      </c>
    </row>
    <row r="18" spans="2:7">
      <c r="B18" s="107" t="s">
        <v>4</v>
      </c>
      <c r="C18" s="6" t="s">
        <v>11</v>
      </c>
      <c r="D18" s="261">
        <v>44781.34</v>
      </c>
      <c r="E18" s="310">
        <v>48433.15</v>
      </c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v>18485904.960000001</v>
      </c>
      <c r="E21" s="149">
        <f>E11-E17</f>
        <v>16831070.630000003</v>
      </c>
      <c r="F21" s="78"/>
      <c r="G21" s="68"/>
    </row>
    <row r="22" spans="2:7">
      <c r="B22" s="3"/>
      <c r="C22" s="7"/>
      <c r="D22" s="8"/>
      <c r="E22" s="8"/>
    </row>
    <row r="23" spans="2:7" ht="15.75">
      <c r="B23" s="358"/>
      <c r="C23" s="366"/>
      <c r="D23" s="366"/>
      <c r="E23" s="366"/>
    </row>
    <row r="24" spans="2:7" ht="18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16687483.48</v>
      </c>
      <c r="E26" s="232">
        <f>D21</f>
        <v>18485904.960000001</v>
      </c>
    </row>
    <row r="27" spans="2:7">
      <c r="B27" s="9" t="s">
        <v>17</v>
      </c>
      <c r="C27" s="10" t="s">
        <v>187</v>
      </c>
      <c r="D27" s="201">
        <v>-161016.19000000041</v>
      </c>
      <c r="E27" s="225">
        <f>E28-E32</f>
        <v>262372.67000000039</v>
      </c>
      <c r="F27" s="72"/>
    </row>
    <row r="28" spans="2:7">
      <c r="B28" s="9" t="s">
        <v>18</v>
      </c>
      <c r="C28" s="10" t="s">
        <v>19</v>
      </c>
      <c r="D28" s="201">
        <v>4436455.29</v>
      </c>
      <c r="E28" s="226">
        <v>3550815.01</v>
      </c>
      <c r="F28" s="72"/>
    </row>
    <row r="29" spans="2:7">
      <c r="B29" s="105" t="s">
        <v>4</v>
      </c>
      <c r="C29" s="6" t="s">
        <v>20</v>
      </c>
      <c r="D29" s="202">
        <v>3569835.07</v>
      </c>
      <c r="E29" s="227">
        <v>3195920.63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866620.22</v>
      </c>
      <c r="E31" s="227">
        <v>354894.38</v>
      </c>
      <c r="F31" s="72"/>
    </row>
    <row r="32" spans="2:7">
      <c r="B32" s="93" t="s">
        <v>23</v>
      </c>
      <c r="C32" s="11" t="s">
        <v>24</v>
      </c>
      <c r="D32" s="201">
        <v>4597471.4800000004</v>
      </c>
      <c r="E32" s="226">
        <f>SUM(E33:E39)</f>
        <v>3288442.3399999994</v>
      </c>
      <c r="F32" s="72"/>
    </row>
    <row r="33" spans="2:6">
      <c r="B33" s="105" t="s">
        <v>4</v>
      </c>
      <c r="C33" s="6" t="s">
        <v>25</v>
      </c>
      <c r="D33" s="202">
        <v>3198561.72</v>
      </c>
      <c r="E33" s="227">
        <f>2306520.26+121935.15</f>
        <v>2428455.4099999997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541565.98</v>
      </c>
      <c r="E35" s="227">
        <v>501039.69999999995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857343.78</v>
      </c>
      <c r="E39" s="228">
        <v>358947.23</v>
      </c>
      <c r="F39" s="72"/>
    </row>
    <row r="40" spans="2:6" ht="13.5" thickBot="1">
      <c r="B40" s="98" t="s">
        <v>35</v>
      </c>
      <c r="C40" s="99" t="s">
        <v>36</v>
      </c>
      <c r="D40" s="204">
        <v>1959437.67</v>
      </c>
      <c r="E40" s="233">
        <v>-1917207</v>
      </c>
    </row>
    <row r="41" spans="2:6" ht="13.5" thickBot="1">
      <c r="B41" s="100" t="s">
        <v>37</v>
      </c>
      <c r="C41" s="101" t="s">
        <v>38</v>
      </c>
      <c r="D41" s="205">
        <v>18485904.960000001</v>
      </c>
      <c r="E41" s="149">
        <f>E26+E27+E40</f>
        <v>16831070.630000003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7.2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1612649.2980929622</v>
      </c>
      <c r="E47" s="74">
        <v>1597461.52211</v>
      </c>
    </row>
    <row r="48" spans="2:6">
      <c r="B48" s="124" t="s">
        <v>6</v>
      </c>
      <c r="C48" s="22" t="s">
        <v>41</v>
      </c>
      <c r="D48" s="207">
        <v>1597461.52211</v>
      </c>
      <c r="E48" s="302">
        <v>1617609.36784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10.3478688762236</v>
      </c>
      <c r="E50" s="74">
        <v>11.572050221037401</v>
      </c>
    </row>
    <row r="51" spans="2:5">
      <c r="B51" s="103" t="s">
        <v>6</v>
      </c>
      <c r="C51" s="15" t="s">
        <v>190</v>
      </c>
      <c r="D51" s="294">
        <v>10.347899999999999</v>
      </c>
      <c r="E51" s="76">
        <v>9.9654000000000007</v>
      </c>
    </row>
    <row r="52" spans="2:5" ht="12.75" customHeight="1">
      <c r="B52" s="103" t="s">
        <v>8</v>
      </c>
      <c r="C52" s="15" t="s">
        <v>191</v>
      </c>
      <c r="D52" s="294">
        <v>11.950100000000001</v>
      </c>
      <c r="E52" s="76">
        <v>12.1831</v>
      </c>
    </row>
    <row r="53" spans="2:5" ht="13.5" thickBot="1">
      <c r="B53" s="104" t="s">
        <v>9</v>
      </c>
      <c r="C53" s="17" t="s">
        <v>41</v>
      </c>
      <c r="D53" s="210">
        <v>11.572050221037401</v>
      </c>
      <c r="E53" s="234">
        <v>10.4049042770367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16833052.57</v>
      </c>
      <c r="E58" s="32">
        <f>D58/E21</f>
        <v>1.0001177548382729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16703901.05-184635.72</f>
        <v>16519265.33</v>
      </c>
      <c r="E64" s="82">
        <f>D64/E21</f>
        <v>0.98147442269987062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313787.24</v>
      </c>
      <c r="E69" s="80">
        <f>D69/E21</f>
        <v>1.8643332138402413E-2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46451.21</v>
      </c>
      <c r="E72" s="120">
        <f>D72/E21</f>
        <v>2.7598487951921804E-3</v>
      </c>
    </row>
    <row r="73" spans="2:5">
      <c r="B73" s="23" t="s">
        <v>62</v>
      </c>
      <c r="C73" s="24" t="s">
        <v>65</v>
      </c>
      <c r="D73" s="25">
        <f>E17</f>
        <v>48433.15</v>
      </c>
      <c r="E73" s="26">
        <f>D73/E21</f>
        <v>2.8776036334653534E-3</v>
      </c>
    </row>
    <row r="74" spans="2:5">
      <c r="B74" s="121" t="s">
        <v>64</v>
      </c>
      <c r="C74" s="122" t="s">
        <v>66</v>
      </c>
      <c r="D74" s="123">
        <f>D58+D71+D72-D73</f>
        <v>16831070.630000003</v>
      </c>
      <c r="E74" s="67">
        <f>E58+E72-E73</f>
        <v>0.99999999999999967</v>
      </c>
    </row>
    <row r="75" spans="2:5">
      <c r="B75" s="14" t="s">
        <v>4</v>
      </c>
      <c r="C75" s="15" t="s">
        <v>67</v>
      </c>
      <c r="D75" s="79">
        <f>D74</f>
        <v>16831070.630000003</v>
      </c>
      <c r="E75" s="80">
        <f>E74</f>
        <v>0.99999999999999967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216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47">
        <v>0</v>
      </c>
      <c r="E11" s="241">
        <f>E12</f>
        <v>0</v>
      </c>
    </row>
    <row r="12" spans="2:5">
      <c r="B12" s="173" t="s">
        <v>4</v>
      </c>
      <c r="C12" s="174" t="s">
        <v>5</v>
      </c>
      <c r="D12" s="248">
        <v>0</v>
      </c>
      <c r="E12" s="242">
        <f>20.13-20.13</f>
        <v>0</v>
      </c>
    </row>
    <row r="13" spans="2:5">
      <c r="B13" s="173" t="s">
        <v>6</v>
      </c>
      <c r="C13" s="175" t="s">
        <v>7</v>
      </c>
      <c r="D13" s="248"/>
      <c r="E13" s="242"/>
    </row>
    <row r="14" spans="2:5">
      <c r="B14" s="173" t="s">
        <v>8</v>
      </c>
      <c r="C14" s="175" t="s">
        <v>10</v>
      </c>
      <c r="D14" s="248"/>
      <c r="E14" s="242"/>
    </row>
    <row r="15" spans="2:5">
      <c r="B15" s="173" t="s">
        <v>182</v>
      </c>
      <c r="C15" s="175" t="s">
        <v>11</v>
      </c>
      <c r="D15" s="248"/>
      <c r="E15" s="242"/>
    </row>
    <row r="16" spans="2:5">
      <c r="B16" s="176" t="s">
        <v>183</v>
      </c>
      <c r="C16" s="177" t="s">
        <v>12</v>
      </c>
      <c r="D16" s="249"/>
      <c r="E16" s="243"/>
    </row>
    <row r="17" spans="2:6">
      <c r="B17" s="9" t="s">
        <v>13</v>
      </c>
      <c r="C17" s="11" t="s">
        <v>65</v>
      </c>
      <c r="D17" s="250"/>
      <c r="E17" s="244"/>
    </row>
    <row r="18" spans="2:6">
      <c r="B18" s="173" t="s">
        <v>4</v>
      </c>
      <c r="C18" s="174" t="s">
        <v>11</v>
      </c>
      <c r="D18" s="248"/>
      <c r="E18" s="243"/>
    </row>
    <row r="19" spans="2:6" ht="15" customHeight="1">
      <c r="B19" s="173" t="s">
        <v>6</v>
      </c>
      <c r="C19" s="175" t="s">
        <v>184</v>
      </c>
      <c r="D19" s="248"/>
      <c r="E19" s="242"/>
    </row>
    <row r="20" spans="2:6" ht="13.5" thickBot="1">
      <c r="B20" s="178" t="s">
        <v>8</v>
      </c>
      <c r="C20" s="179" t="s">
        <v>14</v>
      </c>
      <c r="D20" s="251"/>
      <c r="E20" s="245"/>
    </row>
    <row r="21" spans="2:6" ht="13.5" thickBot="1">
      <c r="B21" s="364" t="s">
        <v>186</v>
      </c>
      <c r="C21" s="365"/>
      <c r="D21" s="252">
        <v>0</v>
      </c>
      <c r="E21" s="246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14721.76</v>
      </c>
      <c r="E26" s="232">
        <f>D21</f>
        <v>0</v>
      </c>
    </row>
    <row r="27" spans="2:6">
      <c r="B27" s="9" t="s">
        <v>17</v>
      </c>
      <c r="C27" s="10" t="s">
        <v>187</v>
      </c>
      <c r="D27" s="201">
        <v>-15705.960000000001</v>
      </c>
      <c r="E27" s="225">
        <f>E28-E32</f>
        <v>1.73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1.73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1.73</v>
      </c>
      <c r="F31" s="72"/>
    </row>
    <row r="32" spans="2:6">
      <c r="B32" s="93" t="s">
        <v>23</v>
      </c>
      <c r="C32" s="11" t="s">
        <v>24</v>
      </c>
      <c r="D32" s="201">
        <v>15705.960000000001</v>
      </c>
      <c r="E32" s="226">
        <f>E33+E35+E37+E39</f>
        <v>0</v>
      </c>
      <c r="F32" s="72"/>
    </row>
    <row r="33" spans="2:6">
      <c r="B33" s="181" t="s">
        <v>4</v>
      </c>
      <c r="C33" s="174" t="s">
        <v>25</v>
      </c>
      <c r="D33" s="202">
        <v>15513.390000000001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17.16</v>
      </c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175.41</v>
      </c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984.2</v>
      </c>
      <c r="E40" s="233">
        <v>-1.73</v>
      </c>
    </row>
    <row r="41" spans="2:6" ht="13.5" thickBot="1">
      <c r="B41" s="100" t="s">
        <v>37</v>
      </c>
      <c r="C41" s="101" t="s">
        <v>38</v>
      </c>
      <c r="D41" s="205">
        <v>0</v>
      </c>
      <c r="E41" s="149">
        <f>E26+E27+E40</f>
        <v>0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139.19968</v>
      </c>
      <c r="E47" s="150"/>
    </row>
    <row r="48" spans="2:6">
      <c r="B48" s="186" t="s">
        <v>6</v>
      </c>
      <c r="C48" s="187" t="s">
        <v>41</v>
      </c>
      <c r="D48" s="207"/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105.76</v>
      </c>
      <c r="E50" s="150"/>
    </row>
    <row r="51" spans="2:5">
      <c r="B51" s="184" t="s">
        <v>6</v>
      </c>
      <c r="C51" s="185" t="s">
        <v>190</v>
      </c>
      <c r="D51" s="209">
        <v>105.74</v>
      </c>
      <c r="E51" s="150">
        <v>106.65</v>
      </c>
    </row>
    <row r="52" spans="2:5">
      <c r="B52" s="184" t="s">
        <v>8</v>
      </c>
      <c r="C52" s="185" t="s">
        <v>191</v>
      </c>
      <c r="D52" s="209">
        <v>119.81</v>
      </c>
      <c r="E52" s="76">
        <v>123.92</v>
      </c>
    </row>
    <row r="53" spans="2:5" ht="13.5" thickBot="1">
      <c r="B53" s="188" t="s">
        <v>9</v>
      </c>
      <c r="C53" s="189" t="s">
        <v>41</v>
      </c>
      <c r="D53" s="210"/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222</v>
      </c>
      <c r="C6" s="356"/>
      <c r="D6" s="356"/>
      <c r="E6" s="356"/>
    </row>
    <row r="7" spans="2:5" ht="14.25">
      <c r="B7" s="197"/>
      <c r="C7" s="197"/>
      <c r="D7" s="197"/>
      <c r="E7" s="19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9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6775.97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6775.97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6775.97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0</v>
      </c>
      <c r="E26" s="232">
        <f>D21</f>
        <v>6775.97</v>
      </c>
    </row>
    <row r="27" spans="2:6">
      <c r="B27" s="9" t="s">
        <v>17</v>
      </c>
      <c r="C27" s="10" t="s">
        <v>187</v>
      </c>
      <c r="D27" s="201">
        <v>6332.6300000000047</v>
      </c>
      <c r="E27" s="225">
        <f>E28-E32</f>
        <v>-6782.41</v>
      </c>
      <c r="F27" s="72"/>
    </row>
    <row r="28" spans="2:6">
      <c r="B28" s="9" t="s">
        <v>18</v>
      </c>
      <c r="C28" s="10" t="s">
        <v>19</v>
      </c>
      <c r="D28" s="201">
        <v>84641.3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84641.3</v>
      </c>
      <c r="E31" s="227"/>
      <c r="F31" s="72"/>
    </row>
    <row r="32" spans="2:6">
      <c r="B32" s="93" t="s">
        <v>23</v>
      </c>
      <c r="C32" s="11" t="s">
        <v>24</v>
      </c>
      <c r="D32" s="201">
        <v>78308.67</v>
      </c>
      <c r="E32" s="226">
        <f>E33+E35+E37+E39</f>
        <v>6782.41</v>
      </c>
      <c r="F32" s="72"/>
    </row>
    <row r="33" spans="2:6">
      <c r="B33" s="181" t="s">
        <v>4</v>
      </c>
      <c r="C33" s="174" t="s">
        <v>25</v>
      </c>
      <c r="D33" s="202">
        <v>62157.07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18.809999999999999</v>
      </c>
      <c r="E35" s="227">
        <v>7.64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489.67</v>
      </c>
      <c r="E37" s="227">
        <v>38.89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15643.12</v>
      </c>
      <c r="E39" s="228">
        <v>6735.88</v>
      </c>
      <c r="F39" s="72"/>
    </row>
    <row r="40" spans="2:6" ht="13.5" thickBot="1">
      <c r="B40" s="98" t="s">
        <v>35</v>
      </c>
      <c r="C40" s="99" t="s">
        <v>36</v>
      </c>
      <c r="D40" s="204">
        <v>443.34</v>
      </c>
      <c r="E40" s="233">
        <v>6.44</v>
      </c>
    </row>
    <row r="41" spans="2:6" ht="13.5" thickBot="1">
      <c r="B41" s="100" t="s">
        <v>37</v>
      </c>
      <c r="C41" s="101" t="s">
        <v>38</v>
      </c>
      <c r="D41" s="205">
        <v>6775.9700000000048</v>
      </c>
      <c r="E41" s="149">
        <v>0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/>
      <c r="E47" s="150">
        <v>58.509390000000003</v>
      </c>
    </row>
    <row r="48" spans="2:6">
      <c r="B48" s="186" t="s">
        <v>6</v>
      </c>
      <c r="C48" s="187" t="s">
        <v>41</v>
      </c>
      <c r="D48" s="207">
        <v>58.509390000000003</v>
      </c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/>
      <c r="E50" s="150">
        <v>115.81</v>
      </c>
    </row>
    <row r="51" spans="2:5">
      <c r="B51" s="184" t="s">
        <v>6</v>
      </c>
      <c r="C51" s="185" t="s">
        <v>190</v>
      </c>
      <c r="D51" s="209">
        <v>114.07</v>
      </c>
      <c r="E51" s="150">
        <v>115.81</v>
      </c>
    </row>
    <row r="52" spans="2:5">
      <c r="B52" s="184" t="s">
        <v>8</v>
      </c>
      <c r="C52" s="185" t="s">
        <v>191</v>
      </c>
      <c r="D52" s="209">
        <v>115.84</v>
      </c>
      <c r="E52" s="76">
        <v>116.45</v>
      </c>
    </row>
    <row r="53" spans="2:5" ht="13.5" thickBot="1">
      <c r="B53" s="188" t="s">
        <v>9</v>
      </c>
      <c r="C53" s="189" t="s">
        <v>41</v>
      </c>
      <c r="D53" s="210">
        <v>115.81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124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81884.33</v>
      </c>
      <c r="E11" s="258">
        <f>E12</f>
        <v>33899.839999999997</v>
      </c>
    </row>
    <row r="12" spans="2:5">
      <c r="B12" s="173" t="s">
        <v>4</v>
      </c>
      <c r="C12" s="174" t="s">
        <v>5</v>
      </c>
      <c r="D12" s="261">
        <v>81884.33</v>
      </c>
      <c r="E12" s="262">
        <v>33899.839999999997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81884.33</v>
      </c>
      <c r="E21" s="149">
        <f>E11</f>
        <v>33899.839999999997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81196.12</v>
      </c>
      <c r="E26" s="232">
        <f>D21</f>
        <v>81884.33</v>
      </c>
    </row>
    <row r="27" spans="2:6">
      <c r="B27" s="9" t="s">
        <v>17</v>
      </c>
      <c r="C27" s="10" t="s">
        <v>187</v>
      </c>
      <c r="D27" s="201">
        <v>-8707.61</v>
      </c>
      <c r="E27" s="225">
        <f>E28-E32</f>
        <v>-34794.220000000008</v>
      </c>
      <c r="F27" s="72"/>
    </row>
    <row r="28" spans="2:6">
      <c r="B28" s="9" t="s">
        <v>18</v>
      </c>
      <c r="C28" s="10" t="s">
        <v>19</v>
      </c>
      <c r="D28" s="201">
        <v>28826.21</v>
      </c>
      <c r="E28" s="226">
        <f>E29+E30+E31</f>
        <v>2694.38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28826.21</v>
      </c>
      <c r="E31" s="227">
        <v>2694.38</v>
      </c>
      <c r="F31" s="72"/>
    </row>
    <row r="32" spans="2:6">
      <c r="B32" s="93" t="s">
        <v>23</v>
      </c>
      <c r="C32" s="11" t="s">
        <v>24</v>
      </c>
      <c r="D32" s="201">
        <v>37533.82</v>
      </c>
      <c r="E32" s="226">
        <f>E33+E35+E37+E39</f>
        <v>37488.600000000006</v>
      </c>
      <c r="F32" s="72"/>
    </row>
    <row r="33" spans="2:6">
      <c r="B33" s="181" t="s">
        <v>4</v>
      </c>
      <c r="C33" s="174" t="s">
        <v>25</v>
      </c>
      <c r="D33" s="202">
        <v>20711.5</v>
      </c>
      <c r="E33" s="227">
        <v>12415.03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247.04</v>
      </c>
      <c r="E35" s="227">
        <v>435.85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1603.29</v>
      </c>
      <c r="E37" s="227">
        <v>958.11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14971.99</v>
      </c>
      <c r="E39" s="228">
        <v>23679.61</v>
      </c>
      <c r="F39" s="72"/>
    </row>
    <row r="40" spans="2:6" ht="13.5" thickBot="1">
      <c r="B40" s="98" t="s">
        <v>35</v>
      </c>
      <c r="C40" s="99" t="s">
        <v>36</v>
      </c>
      <c r="D40" s="204">
        <v>9395.82</v>
      </c>
      <c r="E40" s="233">
        <v>-13190.27</v>
      </c>
    </row>
    <row r="41" spans="2:6" ht="13.5" thickBot="1">
      <c r="B41" s="100" t="s">
        <v>37</v>
      </c>
      <c r="C41" s="101" t="s">
        <v>38</v>
      </c>
      <c r="D41" s="205">
        <v>81884.329999999987</v>
      </c>
      <c r="E41" s="149">
        <f>E26+E27+E40</f>
        <v>33899.839999999997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810.50229999999999</v>
      </c>
      <c r="E47" s="150">
        <v>719.92550000000006</v>
      </c>
    </row>
    <row r="48" spans="2:6">
      <c r="B48" s="186" t="s">
        <v>6</v>
      </c>
      <c r="C48" s="187" t="s">
        <v>41</v>
      </c>
      <c r="D48" s="207">
        <v>719.92550000000006</v>
      </c>
      <c r="E48" s="150">
        <v>399.85660000000001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100.18</v>
      </c>
      <c r="E50" s="150">
        <v>113.74</v>
      </c>
    </row>
    <row r="51" spans="2:5">
      <c r="B51" s="184" t="s">
        <v>6</v>
      </c>
      <c r="C51" s="185" t="s">
        <v>190</v>
      </c>
      <c r="D51" s="209">
        <v>100.05</v>
      </c>
      <c r="E51" s="76">
        <v>100.83</v>
      </c>
    </row>
    <row r="52" spans="2:5">
      <c r="B52" s="184" t="s">
        <v>8</v>
      </c>
      <c r="C52" s="185" t="s">
        <v>191</v>
      </c>
      <c r="D52" s="209">
        <v>115.46</v>
      </c>
      <c r="E52" s="76">
        <v>117.6</v>
      </c>
    </row>
    <row r="53" spans="2:5" ht="12.75" customHeight="1" thickBot="1">
      <c r="B53" s="188" t="s">
        <v>9</v>
      </c>
      <c r="C53" s="189" t="s">
        <v>41</v>
      </c>
      <c r="D53" s="210">
        <v>113.74</v>
      </c>
      <c r="E53" s="234">
        <v>84.78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33899.839999999997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33899.839999999997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33899.839999999997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33899.839999999997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4" t="s">
        <v>0</v>
      </c>
      <c r="C2" s="354"/>
      <c r="D2" s="354"/>
      <c r="E2" s="354"/>
    </row>
    <row r="3" spans="2:5" customFormat="1" ht="15.75">
      <c r="B3" s="354" t="s">
        <v>290</v>
      </c>
      <c r="C3" s="354"/>
      <c r="D3" s="354"/>
      <c r="E3" s="354"/>
    </row>
    <row r="4" spans="2:5" customFormat="1" ht="15">
      <c r="B4" s="142"/>
      <c r="C4" s="142"/>
      <c r="D4" s="142"/>
      <c r="E4" s="142"/>
    </row>
    <row r="5" spans="2:5" customFormat="1" ht="21" customHeight="1">
      <c r="B5" s="355" t="s">
        <v>1</v>
      </c>
      <c r="C5" s="355"/>
      <c r="D5" s="355"/>
      <c r="E5" s="355"/>
    </row>
    <row r="6" spans="2:5" customFormat="1" ht="14.25">
      <c r="B6" s="356" t="s">
        <v>264</v>
      </c>
      <c r="C6" s="356"/>
      <c r="D6" s="356"/>
      <c r="E6" s="356"/>
    </row>
    <row r="7" spans="2:5" customFormat="1" ht="14.25">
      <c r="B7" s="140"/>
      <c r="C7" s="140"/>
      <c r="D7" s="140"/>
      <c r="E7" s="140"/>
    </row>
    <row r="8" spans="2:5" customFormat="1" ht="13.5">
      <c r="B8" s="358" t="s">
        <v>18</v>
      </c>
      <c r="C8" s="360"/>
      <c r="D8" s="360"/>
      <c r="E8" s="360"/>
    </row>
    <row r="9" spans="2:5" customFormat="1" ht="16.5" thickBot="1">
      <c r="B9" s="357" t="s">
        <v>179</v>
      </c>
      <c r="C9" s="357"/>
      <c r="D9" s="357"/>
      <c r="E9" s="357"/>
    </row>
    <row r="10" spans="2:5" customFormat="1" ht="13.5" thickBot="1">
      <c r="B10" s="141"/>
      <c r="C10" s="77" t="s">
        <v>2</v>
      </c>
      <c r="D10" s="71" t="s">
        <v>223</v>
      </c>
      <c r="E10" s="29" t="s">
        <v>267</v>
      </c>
    </row>
    <row r="11" spans="2:5" customFormat="1">
      <c r="B11" s="91" t="s">
        <v>3</v>
      </c>
      <c r="C11" s="129" t="s">
        <v>185</v>
      </c>
      <c r="D11" s="257">
        <v>23977.95</v>
      </c>
      <c r="E11" s="258">
        <f>E12</f>
        <v>4223.03</v>
      </c>
    </row>
    <row r="12" spans="2:5" customFormat="1">
      <c r="B12" s="173" t="s">
        <v>4</v>
      </c>
      <c r="C12" s="174" t="s">
        <v>5</v>
      </c>
      <c r="D12" s="261">
        <v>23977.95</v>
      </c>
      <c r="E12" s="262">
        <v>4223.03</v>
      </c>
    </row>
    <row r="13" spans="2:5" customFormat="1">
      <c r="B13" s="173" t="s">
        <v>6</v>
      </c>
      <c r="C13" s="175" t="s">
        <v>7</v>
      </c>
      <c r="D13" s="261"/>
      <c r="E13" s="262"/>
    </row>
    <row r="14" spans="2:5" customFormat="1">
      <c r="B14" s="173" t="s">
        <v>8</v>
      </c>
      <c r="C14" s="175" t="s">
        <v>10</v>
      </c>
      <c r="D14" s="261"/>
      <c r="E14" s="262"/>
    </row>
    <row r="15" spans="2:5" customFormat="1">
      <c r="B15" s="173" t="s">
        <v>182</v>
      </c>
      <c r="C15" s="175" t="s">
        <v>11</v>
      </c>
      <c r="D15" s="261"/>
      <c r="E15" s="262"/>
    </row>
    <row r="16" spans="2:5" customFormat="1">
      <c r="B16" s="176" t="s">
        <v>183</v>
      </c>
      <c r="C16" s="177" t="s">
        <v>12</v>
      </c>
      <c r="D16" s="263"/>
      <c r="E16" s="264"/>
    </row>
    <row r="17" spans="2:6" customFormat="1">
      <c r="B17" s="9" t="s">
        <v>13</v>
      </c>
      <c r="C17" s="11" t="s">
        <v>65</v>
      </c>
      <c r="D17" s="296"/>
      <c r="E17" s="266"/>
    </row>
    <row r="18" spans="2:6" customFormat="1">
      <c r="B18" s="173" t="s">
        <v>4</v>
      </c>
      <c r="C18" s="174" t="s">
        <v>11</v>
      </c>
      <c r="D18" s="261"/>
      <c r="E18" s="264"/>
    </row>
    <row r="19" spans="2:6" customFormat="1" ht="15" customHeight="1">
      <c r="B19" s="173" t="s">
        <v>6</v>
      </c>
      <c r="C19" s="175" t="s">
        <v>184</v>
      </c>
      <c r="D19" s="261"/>
      <c r="E19" s="262"/>
    </row>
    <row r="20" spans="2:6" customFormat="1" ht="13.5" thickBot="1">
      <c r="B20" s="178" t="s">
        <v>8</v>
      </c>
      <c r="C20" s="179" t="s">
        <v>14</v>
      </c>
      <c r="D20" s="267"/>
      <c r="E20" s="268"/>
    </row>
    <row r="21" spans="2:6" customFormat="1" ht="13.5" thickBot="1">
      <c r="B21" s="364" t="s">
        <v>186</v>
      </c>
      <c r="C21" s="365"/>
      <c r="D21" s="269">
        <v>23977.95</v>
      </c>
      <c r="E21" s="149">
        <f>E11</f>
        <v>4223.03</v>
      </c>
      <c r="F21" s="78"/>
    </row>
    <row r="22" spans="2:6" customFormat="1">
      <c r="B22" s="3"/>
      <c r="C22" s="7"/>
      <c r="D22" s="8"/>
      <c r="E22" s="8"/>
    </row>
    <row r="23" spans="2:6" customFormat="1" ht="13.5">
      <c r="B23" s="358" t="s">
        <v>180</v>
      </c>
      <c r="C23" s="368"/>
      <c r="D23" s="368"/>
      <c r="E23" s="368"/>
    </row>
    <row r="24" spans="2:6" customFormat="1" ht="15.75" customHeight="1" thickBot="1">
      <c r="B24" s="357" t="s">
        <v>181</v>
      </c>
      <c r="C24" s="369"/>
      <c r="D24" s="369"/>
      <c r="E24" s="369"/>
    </row>
    <row r="25" spans="2:6" customFormat="1" ht="13.5" thickBot="1">
      <c r="B25" s="215"/>
      <c r="C25" s="180" t="s">
        <v>2</v>
      </c>
      <c r="D25" s="71" t="s">
        <v>223</v>
      </c>
      <c r="E25" s="29" t="s">
        <v>267</v>
      </c>
    </row>
    <row r="26" spans="2:6" customFormat="1">
      <c r="B26" s="96" t="s">
        <v>15</v>
      </c>
      <c r="C26" s="97" t="s">
        <v>16</v>
      </c>
      <c r="D26" s="200">
        <v>52673.43</v>
      </c>
      <c r="E26" s="232">
        <f>D21</f>
        <v>23977.95</v>
      </c>
    </row>
    <row r="27" spans="2:6" customFormat="1">
      <c r="B27" s="9" t="s">
        <v>17</v>
      </c>
      <c r="C27" s="10" t="s">
        <v>187</v>
      </c>
      <c r="D27" s="201">
        <v>-37735.629999999997</v>
      </c>
      <c r="E27" s="225">
        <f>E28-E32</f>
        <v>-15817.32</v>
      </c>
      <c r="F27" s="72"/>
    </row>
    <row r="28" spans="2:6" customFormat="1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 customFormat="1">
      <c r="B29" s="181" t="s">
        <v>4</v>
      </c>
      <c r="C29" s="174" t="s">
        <v>20</v>
      </c>
      <c r="D29" s="202"/>
      <c r="E29" s="227"/>
      <c r="F29" s="72"/>
    </row>
    <row r="30" spans="2:6" customFormat="1">
      <c r="B30" s="181" t="s">
        <v>6</v>
      </c>
      <c r="C30" s="174" t="s">
        <v>21</v>
      </c>
      <c r="D30" s="202"/>
      <c r="E30" s="227"/>
      <c r="F30" s="72"/>
    </row>
    <row r="31" spans="2:6" customFormat="1">
      <c r="B31" s="181" t="s">
        <v>8</v>
      </c>
      <c r="C31" s="174" t="s">
        <v>22</v>
      </c>
      <c r="D31" s="202"/>
      <c r="E31" s="227"/>
      <c r="F31" s="72"/>
    </row>
    <row r="32" spans="2:6" customFormat="1">
      <c r="B32" s="93" t="s">
        <v>23</v>
      </c>
      <c r="C32" s="11" t="s">
        <v>24</v>
      </c>
      <c r="D32" s="201">
        <v>37735.629999999997</v>
      </c>
      <c r="E32" s="226">
        <f>E33+E35+E37+E39</f>
        <v>15817.32</v>
      </c>
      <c r="F32" s="72"/>
    </row>
    <row r="33" spans="2:6" customFormat="1">
      <c r="B33" s="181" t="s">
        <v>4</v>
      </c>
      <c r="C33" s="174" t="s">
        <v>25</v>
      </c>
      <c r="D33" s="202">
        <v>27846.53</v>
      </c>
      <c r="E33" s="227">
        <v>15414.23</v>
      </c>
      <c r="F33" s="72"/>
    </row>
    <row r="34" spans="2:6" customFormat="1">
      <c r="B34" s="181" t="s">
        <v>6</v>
      </c>
      <c r="C34" s="174" t="s">
        <v>26</v>
      </c>
      <c r="D34" s="202"/>
      <c r="E34" s="227"/>
      <c r="F34" s="72"/>
    </row>
    <row r="35" spans="2:6" customFormat="1">
      <c r="B35" s="181" t="s">
        <v>8</v>
      </c>
      <c r="C35" s="174" t="s">
        <v>27</v>
      </c>
      <c r="D35" s="202">
        <v>47.17</v>
      </c>
      <c r="E35" s="227">
        <v>14.98</v>
      </c>
      <c r="F35" s="72"/>
    </row>
    <row r="36" spans="2:6" customFormat="1">
      <c r="B36" s="181" t="s">
        <v>9</v>
      </c>
      <c r="C36" s="174" t="s">
        <v>28</v>
      </c>
      <c r="D36" s="202"/>
      <c r="E36" s="227"/>
      <c r="F36" s="72"/>
    </row>
    <row r="37" spans="2:6" customFormat="1" ht="25.5">
      <c r="B37" s="181" t="s">
        <v>29</v>
      </c>
      <c r="C37" s="174" t="s">
        <v>30</v>
      </c>
      <c r="D37" s="202">
        <v>777.96</v>
      </c>
      <c r="E37" s="227">
        <v>388.11</v>
      </c>
      <c r="F37" s="72"/>
    </row>
    <row r="38" spans="2:6" customFormat="1">
      <c r="B38" s="181" t="s">
        <v>31</v>
      </c>
      <c r="C38" s="174" t="s">
        <v>32</v>
      </c>
      <c r="D38" s="202"/>
      <c r="E38" s="227"/>
      <c r="F38" s="72"/>
    </row>
    <row r="39" spans="2:6" customFormat="1">
      <c r="B39" s="182" t="s">
        <v>33</v>
      </c>
      <c r="C39" s="183" t="s">
        <v>34</v>
      </c>
      <c r="D39" s="203">
        <v>9063.9699999999993</v>
      </c>
      <c r="E39" s="228"/>
      <c r="F39" s="72"/>
    </row>
    <row r="40" spans="2:6" customFormat="1" ht="13.5" thickBot="1">
      <c r="B40" s="98" t="s">
        <v>35</v>
      </c>
      <c r="C40" s="99" t="s">
        <v>36</v>
      </c>
      <c r="D40" s="204">
        <v>9040.15</v>
      </c>
      <c r="E40" s="233">
        <v>-3937.6</v>
      </c>
    </row>
    <row r="41" spans="2:6" customFormat="1" ht="13.5" thickBot="1">
      <c r="B41" s="100" t="s">
        <v>37</v>
      </c>
      <c r="C41" s="101" t="s">
        <v>38</v>
      </c>
      <c r="D41" s="205">
        <v>23977.950000000004</v>
      </c>
      <c r="E41" s="149">
        <f>E26+E27+E40</f>
        <v>4223.0300000000007</v>
      </c>
      <c r="F41" s="78"/>
    </row>
    <row r="42" spans="2:6" customFormat="1">
      <c r="B42" s="94"/>
      <c r="C42" s="94"/>
      <c r="D42" s="95"/>
      <c r="E42" s="95"/>
      <c r="F42" s="78"/>
    </row>
    <row r="43" spans="2:6" customFormat="1" ht="13.5">
      <c r="B43" s="359" t="s">
        <v>60</v>
      </c>
      <c r="C43" s="371"/>
      <c r="D43" s="371"/>
      <c r="E43" s="371"/>
    </row>
    <row r="44" spans="2:6" customFormat="1" ht="18" customHeight="1" thickBot="1">
      <c r="B44" s="357" t="s">
        <v>204</v>
      </c>
      <c r="C44" s="370"/>
      <c r="D44" s="370"/>
      <c r="E44" s="370"/>
    </row>
    <row r="45" spans="2:6" customFormat="1" ht="13.5" thickBot="1">
      <c r="B45" s="215"/>
      <c r="C45" s="30" t="s">
        <v>39</v>
      </c>
      <c r="D45" s="71" t="s">
        <v>223</v>
      </c>
      <c r="E45" s="29" t="s">
        <v>267</v>
      </c>
    </row>
    <row r="46" spans="2:6" customFormat="1">
      <c r="B46" s="13" t="s">
        <v>18</v>
      </c>
      <c r="C46" s="31" t="s">
        <v>188</v>
      </c>
      <c r="D46" s="102"/>
      <c r="E46" s="28"/>
    </row>
    <row r="47" spans="2:6" customFormat="1">
      <c r="B47" s="184" t="s">
        <v>4</v>
      </c>
      <c r="C47" s="185" t="s">
        <v>40</v>
      </c>
      <c r="D47" s="206">
        <v>427.44</v>
      </c>
      <c r="E47" s="150">
        <v>160.4091</v>
      </c>
    </row>
    <row r="48" spans="2:6" customFormat="1">
      <c r="B48" s="186" t="s">
        <v>6</v>
      </c>
      <c r="C48" s="187" t="s">
        <v>41</v>
      </c>
      <c r="D48" s="207">
        <v>160.4091</v>
      </c>
      <c r="E48" s="150">
        <v>37.220399999999998</v>
      </c>
    </row>
    <row r="49" spans="2:5" customFormat="1">
      <c r="B49" s="121" t="s">
        <v>23</v>
      </c>
      <c r="C49" s="125" t="s">
        <v>189</v>
      </c>
      <c r="D49" s="208"/>
      <c r="E49" s="150"/>
    </row>
    <row r="50" spans="2:5" customFormat="1">
      <c r="B50" s="184" t="s">
        <v>4</v>
      </c>
      <c r="C50" s="185" t="s">
        <v>40</v>
      </c>
      <c r="D50" s="206">
        <v>123.23</v>
      </c>
      <c r="E50" s="150">
        <v>149.47999999999999</v>
      </c>
    </row>
    <row r="51" spans="2:5" customFormat="1">
      <c r="B51" s="184" t="s">
        <v>6</v>
      </c>
      <c r="C51" s="185" t="s">
        <v>190</v>
      </c>
      <c r="D51" s="209">
        <v>123.23</v>
      </c>
      <c r="E51" s="76">
        <v>111.56</v>
      </c>
    </row>
    <row r="52" spans="2:5" customFormat="1">
      <c r="B52" s="184" t="s">
        <v>8</v>
      </c>
      <c r="C52" s="185" t="s">
        <v>191</v>
      </c>
      <c r="D52" s="209">
        <v>150.03</v>
      </c>
      <c r="E52" s="76">
        <v>156.93</v>
      </c>
    </row>
    <row r="53" spans="2:5" customFormat="1" ht="13.5" customHeight="1" thickBot="1">
      <c r="B53" s="188" t="s">
        <v>9</v>
      </c>
      <c r="C53" s="189" t="s">
        <v>41</v>
      </c>
      <c r="D53" s="210">
        <v>149.47999999999999</v>
      </c>
      <c r="E53" s="234">
        <v>113.46</v>
      </c>
    </row>
    <row r="54" spans="2:5" customFormat="1">
      <c r="B54" s="110"/>
      <c r="C54" s="111"/>
      <c r="D54" s="112"/>
      <c r="E54" s="112"/>
    </row>
    <row r="55" spans="2:5" customFormat="1" ht="13.5">
      <c r="B55" s="359" t="s">
        <v>62</v>
      </c>
      <c r="C55" s="360"/>
      <c r="D55" s="360"/>
      <c r="E55" s="360"/>
    </row>
    <row r="56" spans="2:5" customFormat="1" ht="17.25" customHeight="1" thickBot="1">
      <c r="B56" s="357" t="s">
        <v>192</v>
      </c>
      <c r="C56" s="361"/>
      <c r="D56" s="361"/>
      <c r="E56" s="361"/>
    </row>
    <row r="57" spans="2:5" customFormat="1" ht="23.25" thickBot="1">
      <c r="B57" s="352" t="s">
        <v>42</v>
      </c>
      <c r="C57" s="353"/>
      <c r="D57" s="18" t="s">
        <v>205</v>
      </c>
      <c r="E57" s="19" t="s">
        <v>193</v>
      </c>
    </row>
    <row r="58" spans="2:5" customFormat="1">
      <c r="B58" s="20" t="s">
        <v>18</v>
      </c>
      <c r="C58" s="127" t="s">
        <v>43</v>
      </c>
      <c r="D58" s="128">
        <f>D64</f>
        <v>4223.03</v>
      </c>
      <c r="E58" s="32">
        <f>D58/E21</f>
        <v>1</v>
      </c>
    </row>
    <row r="59" spans="2:5" customFormat="1" ht="25.5">
      <c r="B59" s="124" t="s">
        <v>4</v>
      </c>
      <c r="C59" s="22" t="s">
        <v>44</v>
      </c>
      <c r="D59" s="81">
        <v>0</v>
      </c>
      <c r="E59" s="82">
        <v>0</v>
      </c>
    </row>
    <row r="60" spans="2:5" customFormat="1" ht="25.5">
      <c r="B60" s="103" t="s">
        <v>6</v>
      </c>
      <c r="C60" s="15" t="s">
        <v>45</v>
      </c>
      <c r="D60" s="79">
        <v>0</v>
      </c>
      <c r="E60" s="80">
        <v>0</v>
      </c>
    </row>
    <row r="61" spans="2:5" customFormat="1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 customFormat="1">
      <c r="B62" s="103" t="s">
        <v>9</v>
      </c>
      <c r="C62" s="15" t="s">
        <v>47</v>
      </c>
      <c r="D62" s="79">
        <v>0</v>
      </c>
      <c r="E62" s="80">
        <v>0</v>
      </c>
    </row>
    <row r="63" spans="2:5" customFormat="1">
      <c r="B63" s="103" t="s">
        <v>29</v>
      </c>
      <c r="C63" s="15" t="s">
        <v>48</v>
      </c>
      <c r="D63" s="79">
        <v>0</v>
      </c>
      <c r="E63" s="80">
        <v>0</v>
      </c>
    </row>
    <row r="64" spans="2:5" customFormat="1">
      <c r="B64" s="124" t="s">
        <v>31</v>
      </c>
      <c r="C64" s="22" t="s">
        <v>49</v>
      </c>
      <c r="D64" s="81">
        <f>E21</f>
        <v>4223.03</v>
      </c>
      <c r="E64" s="82">
        <f>E58</f>
        <v>1</v>
      </c>
    </row>
    <row r="65" spans="2:5" customFormat="1">
      <c r="B65" s="124" t="s">
        <v>33</v>
      </c>
      <c r="C65" s="22" t="s">
        <v>194</v>
      </c>
      <c r="D65" s="81">
        <v>0</v>
      </c>
      <c r="E65" s="82">
        <v>0</v>
      </c>
    </row>
    <row r="66" spans="2:5" customFormat="1">
      <c r="B66" s="124" t="s">
        <v>50</v>
      </c>
      <c r="C66" s="22" t="s">
        <v>51</v>
      </c>
      <c r="D66" s="81">
        <v>0</v>
      </c>
      <c r="E66" s="82">
        <v>0</v>
      </c>
    </row>
    <row r="67" spans="2:5" customFormat="1">
      <c r="B67" s="103" t="s">
        <v>52</v>
      </c>
      <c r="C67" s="15" t="s">
        <v>53</v>
      </c>
      <c r="D67" s="79">
        <v>0</v>
      </c>
      <c r="E67" s="80">
        <v>0</v>
      </c>
    </row>
    <row r="68" spans="2:5" customFormat="1">
      <c r="B68" s="103" t="s">
        <v>54</v>
      </c>
      <c r="C68" s="15" t="s">
        <v>55</v>
      </c>
      <c r="D68" s="79">
        <v>0</v>
      </c>
      <c r="E68" s="80">
        <v>0</v>
      </c>
    </row>
    <row r="69" spans="2:5" customFormat="1">
      <c r="B69" s="103" t="s">
        <v>56</v>
      </c>
      <c r="C69" s="15" t="s">
        <v>57</v>
      </c>
      <c r="D69" s="311">
        <v>0</v>
      </c>
      <c r="E69" s="80">
        <v>0</v>
      </c>
    </row>
    <row r="70" spans="2:5" customFormat="1">
      <c r="B70" s="130" t="s">
        <v>58</v>
      </c>
      <c r="C70" s="114" t="s">
        <v>59</v>
      </c>
      <c r="D70" s="115">
        <v>0</v>
      </c>
      <c r="E70" s="116">
        <v>0</v>
      </c>
    </row>
    <row r="71" spans="2:5" customFormat="1">
      <c r="B71" s="131" t="s">
        <v>23</v>
      </c>
      <c r="C71" s="122" t="s">
        <v>61</v>
      </c>
      <c r="D71" s="123">
        <v>0</v>
      </c>
      <c r="E71" s="67">
        <v>0</v>
      </c>
    </row>
    <row r="72" spans="2:5" customFormat="1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customFormat="1">
      <c r="B73" s="133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1" t="s">
        <v>64</v>
      </c>
      <c r="C74" s="122" t="s">
        <v>66</v>
      </c>
      <c r="D74" s="123">
        <f>D58</f>
        <v>4223.03</v>
      </c>
      <c r="E74" s="67">
        <f>E58+E72-E73</f>
        <v>1</v>
      </c>
    </row>
    <row r="75" spans="2:5" customFormat="1">
      <c r="B75" s="103" t="s">
        <v>4</v>
      </c>
      <c r="C75" s="15" t="s">
        <v>67</v>
      </c>
      <c r="D75" s="79">
        <f>D74</f>
        <v>4223.03</v>
      </c>
      <c r="E75" s="80">
        <f>E74</f>
        <v>1</v>
      </c>
    </row>
    <row r="76" spans="2:5" customFormat="1">
      <c r="B76" s="103" t="s">
        <v>6</v>
      </c>
      <c r="C76" s="15" t="s">
        <v>195</v>
      </c>
      <c r="D76" s="79">
        <v>0</v>
      </c>
      <c r="E76" s="80">
        <v>0</v>
      </c>
    </row>
    <row r="77" spans="2:5" customFormat="1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4" t="s">
        <v>0</v>
      </c>
      <c r="C2" s="354"/>
      <c r="D2" s="354"/>
      <c r="E2" s="354"/>
    </row>
    <row r="3" spans="2:5" customFormat="1" ht="15.75">
      <c r="B3" s="354" t="s">
        <v>290</v>
      </c>
      <c r="C3" s="354"/>
      <c r="D3" s="354"/>
      <c r="E3" s="354"/>
    </row>
    <row r="4" spans="2:5" customFormat="1" ht="15">
      <c r="B4" s="148"/>
      <c r="C4" s="148"/>
      <c r="D4" s="148"/>
      <c r="E4" s="148"/>
    </row>
    <row r="5" spans="2:5" customFormat="1" ht="21" customHeight="1">
      <c r="B5" s="355" t="s">
        <v>1</v>
      </c>
      <c r="C5" s="355"/>
      <c r="D5" s="355"/>
      <c r="E5" s="355"/>
    </row>
    <row r="6" spans="2:5" customFormat="1" ht="14.25">
      <c r="B6" s="356" t="s">
        <v>263</v>
      </c>
      <c r="C6" s="356"/>
      <c r="D6" s="356"/>
      <c r="E6" s="356"/>
    </row>
    <row r="7" spans="2:5" customFormat="1" ht="14.25">
      <c r="B7" s="221"/>
      <c r="C7" s="221"/>
      <c r="D7" s="221"/>
      <c r="E7" s="221"/>
    </row>
    <row r="8" spans="2:5" customFormat="1" ht="13.5">
      <c r="B8" s="358" t="s">
        <v>18</v>
      </c>
      <c r="C8" s="360"/>
      <c r="D8" s="360"/>
      <c r="E8" s="360"/>
    </row>
    <row r="9" spans="2:5" customFormat="1" ht="16.5" thickBot="1">
      <c r="B9" s="357" t="s">
        <v>179</v>
      </c>
      <c r="C9" s="357"/>
      <c r="D9" s="357"/>
      <c r="E9" s="357"/>
    </row>
    <row r="10" spans="2:5" customFormat="1" ht="13.5" thickBot="1">
      <c r="B10" s="222"/>
      <c r="C10" s="77" t="s">
        <v>2</v>
      </c>
      <c r="D10" s="71" t="s">
        <v>223</v>
      </c>
      <c r="E10" s="29" t="s">
        <v>267</v>
      </c>
    </row>
    <row r="11" spans="2:5" customFormat="1">
      <c r="B11" s="91" t="s">
        <v>3</v>
      </c>
      <c r="C11" s="129" t="s">
        <v>185</v>
      </c>
      <c r="D11" s="257">
        <v>0</v>
      </c>
      <c r="E11" s="258">
        <f>E12</f>
        <v>21548.05</v>
      </c>
    </row>
    <row r="12" spans="2:5" customFormat="1">
      <c r="B12" s="173" t="s">
        <v>4</v>
      </c>
      <c r="C12" s="174" t="s">
        <v>5</v>
      </c>
      <c r="D12" s="261">
        <v>0</v>
      </c>
      <c r="E12" s="262">
        <v>21548.05</v>
      </c>
    </row>
    <row r="13" spans="2:5" customFormat="1">
      <c r="B13" s="173" t="s">
        <v>6</v>
      </c>
      <c r="C13" s="175" t="s">
        <v>7</v>
      </c>
      <c r="D13" s="261"/>
      <c r="E13" s="262"/>
    </row>
    <row r="14" spans="2:5" customFormat="1">
      <c r="B14" s="173" t="s">
        <v>8</v>
      </c>
      <c r="C14" s="175" t="s">
        <v>10</v>
      </c>
      <c r="D14" s="261"/>
      <c r="E14" s="262"/>
    </row>
    <row r="15" spans="2:5" customFormat="1">
      <c r="B15" s="173" t="s">
        <v>182</v>
      </c>
      <c r="C15" s="175" t="s">
        <v>11</v>
      </c>
      <c r="D15" s="261"/>
      <c r="E15" s="262"/>
    </row>
    <row r="16" spans="2:5" customFormat="1">
      <c r="B16" s="176" t="s">
        <v>183</v>
      </c>
      <c r="C16" s="177" t="s">
        <v>12</v>
      </c>
      <c r="D16" s="263"/>
      <c r="E16" s="264"/>
    </row>
    <row r="17" spans="2:6" customFormat="1">
      <c r="B17" s="9" t="s">
        <v>13</v>
      </c>
      <c r="C17" s="11" t="s">
        <v>65</v>
      </c>
      <c r="D17" s="296"/>
      <c r="E17" s="266"/>
    </row>
    <row r="18" spans="2:6" customFormat="1">
      <c r="B18" s="173" t="s">
        <v>4</v>
      </c>
      <c r="C18" s="174" t="s">
        <v>11</v>
      </c>
      <c r="D18" s="261"/>
      <c r="E18" s="264"/>
    </row>
    <row r="19" spans="2:6" customFormat="1" ht="15" customHeight="1">
      <c r="B19" s="173" t="s">
        <v>6</v>
      </c>
      <c r="C19" s="175" t="s">
        <v>184</v>
      </c>
      <c r="D19" s="261"/>
      <c r="E19" s="262"/>
    </row>
    <row r="20" spans="2:6" customFormat="1" ht="13.5" thickBot="1">
      <c r="B20" s="178" t="s">
        <v>8</v>
      </c>
      <c r="C20" s="179" t="s">
        <v>14</v>
      </c>
      <c r="D20" s="267"/>
      <c r="E20" s="268"/>
    </row>
    <row r="21" spans="2:6" customFormat="1" ht="13.5" thickBot="1">
      <c r="B21" s="364" t="s">
        <v>186</v>
      </c>
      <c r="C21" s="365"/>
      <c r="D21" s="269">
        <v>0</v>
      </c>
      <c r="E21" s="149">
        <f>E11</f>
        <v>21548.05</v>
      </c>
      <c r="F21" s="78"/>
    </row>
    <row r="22" spans="2:6" customFormat="1">
      <c r="B22" s="3"/>
      <c r="C22" s="7"/>
      <c r="D22" s="8"/>
      <c r="E22" s="8"/>
    </row>
    <row r="23" spans="2:6" customFormat="1" ht="13.5">
      <c r="B23" s="358" t="s">
        <v>180</v>
      </c>
      <c r="C23" s="368"/>
      <c r="D23" s="368"/>
      <c r="E23" s="368"/>
    </row>
    <row r="24" spans="2:6" customFormat="1" ht="15.75" customHeight="1" thickBot="1">
      <c r="B24" s="357" t="s">
        <v>181</v>
      </c>
      <c r="C24" s="369"/>
      <c r="D24" s="369"/>
      <c r="E24" s="369"/>
    </row>
    <row r="25" spans="2:6" customFormat="1" ht="13.5" thickBot="1">
      <c r="B25" s="222"/>
      <c r="C25" s="180" t="s">
        <v>2</v>
      </c>
      <c r="D25" s="71" t="s">
        <v>223</v>
      </c>
      <c r="E25" s="29" t="s">
        <v>267</v>
      </c>
    </row>
    <row r="26" spans="2:6" customFormat="1">
      <c r="B26" s="96" t="s">
        <v>15</v>
      </c>
      <c r="C26" s="97" t="s">
        <v>16</v>
      </c>
      <c r="D26" s="200"/>
      <c r="E26" s="232">
        <f>D21</f>
        <v>0</v>
      </c>
    </row>
    <row r="27" spans="2:6" customFormat="1">
      <c r="B27" s="9" t="s">
        <v>17</v>
      </c>
      <c r="C27" s="10" t="s">
        <v>187</v>
      </c>
      <c r="D27" s="201"/>
      <c r="E27" s="225">
        <f>E28-E32</f>
        <v>26569.739999999998</v>
      </c>
      <c r="F27" s="72"/>
    </row>
    <row r="28" spans="2:6" customFormat="1">
      <c r="B28" s="9" t="s">
        <v>18</v>
      </c>
      <c r="C28" s="10" t="s">
        <v>19</v>
      </c>
      <c r="D28" s="201"/>
      <c r="E28" s="226">
        <f>E29+E30+E31</f>
        <v>26932.44</v>
      </c>
      <c r="F28" s="72"/>
    </row>
    <row r="29" spans="2:6" customFormat="1">
      <c r="B29" s="181" t="s">
        <v>4</v>
      </c>
      <c r="C29" s="174" t="s">
        <v>20</v>
      </c>
      <c r="D29" s="202"/>
      <c r="E29" s="227"/>
      <c r="F29" s="72"/>
    </row>
    <row r="30" spans="2:6" customFormat="1">
      <c r="B30" s="181" t="s">
        <v>6</v>
      </c>
      <c r="C30" s="174" t="s">
        <v>21</v>
      </c>
      <c r="D30" s="202"/>
      <c r="E30" s="227"/>
      <c r="F30" s="72"/>
    </row>
    <row r="31" spans="2:6" customFormat="1">
      <c r="B31" s="181" t="s">
        <v>8</v>
      </c>
      <c r="C31" s="174" t="s">
        <v>22</v>
      </c>
      <c r="D31" s="202"/>
      <c r="E31" s="227">
        <v>26932.44</v>
      </c>
      <c r="F31" s="72"/>
    </row>
    <row r="32" spans="2:6" customFormat="1">
      <c r="B32" s="93" t="s">
        <v>23</v>
      </c>
      <c r="C32" s="11" t="s">
        <v>24</v>
      </c>
      <c r="D32" s="201"/>
      <c r="E32" s="226">
        <f>E33+E35+E37+E39</f>
        <v>362.7</v>
      </c>
      <c r="F32" s="72"/>
    </row>
    <row r="33" spans="2:6" customFormat="1">
      <c r="B33" s="181" t="s">
        <v>4</v>
      </c>
      <c r="C33" s="174" t="s">
        <v>25</v>
      </c>
      <c r="D33" s="202"/>
      <c r="E33" s="227"/>
      <c r="F33" s="72"/>
    </row>
    <row r="34" spans="2:6" customFormat="1">
      <c r="B34" s="181" t="s">
        <v>6</v>
      </c>
      <c r="C34" s="174" t="s">
        <v>26</v>
      </c>
      <c r="D34" s="202"/>
      <c r="E34" s="227"/>
      <c r="F34" s="72"/>
    </row>
    <row r="35" spans="2:6" customFormat="1">
      <c r="B35" s="181" t="s">
        <v>8</v>
      </c>
      <c r="C35" s="174" t="s">
        <v>27</v>
      </c>
      <c r="D35" s="202"/>
      <c r="E35" s="227">
        <v>23.75</v>
      </c>
      <c r="F35" s="72"/>
    </row>
    <row r="36" spans="2:6" customFormat="1">
      <c r="B36" s="181" t="s">
        <v>9</v>
      </c>
      <c r="C36" s="174" t="s">
        <v>28</v>
      </c>
      <c r="D36" s="202"/>
      <c r="E36" s="227"/>
      <c r="F36" s="72"/>
    </row>
    <row r="37" spans="2:6" customFormat="1" ht="25.5">
      <c r="B37" s="181" t="s">
        <v>29</v>
      </c>
      <c r="C37" s="174" t="s">
        <v>30</v>
      </c>
      <c r="D37" s="202"/>
      <c r="E37" s="227">
        <v>338.95</v>
      </c>
      <c r="F37" s="72"/>
    </row>
    <row r="38" spans="2:6" customFormat="1">
      <c r="B38" s="181" t="s">
        <v>31</v>
      </c>
      <c r="C38" s="174" t="s">
        <v>32</v>
      </c>
      <c r="D38" s="202"/>
      <c r="E38" s="227"/>
      <c r="F38" s="72"/>
    </row>
    <row r="39" spans="2:6" customFormat="1">
      <c r="B39" s="182" t="s">
        <v>33</v>
      </c>
      <c r="C39" s="183" t="s">
        <v>34</v>
      </c>
      <c r="D39" s="203"/>
      <c r="E39" s="228"/>
      <c r="F39" s="72"/>
    </row>
    <row r="40" spans="2:6" customFormat="1" ht="13.5" thickBot="1">
      <c r="B40" s="98" t="s">
        <v>35</v>
      </c>
      <c r="C40" s="99" t="s">
        <v>36</v>
      </c>
      <c r="D40" s="204"/>
      <c r="E40" s="233">
        <v>-5021.6899999999996</v>
      </c>
    </row>
    <row r="41" spans="2:6" customFormat="1" ht="13.5" thickBot="1">
      <c r="B41" s="100" t="s">
        <v>37</v>
      </c>
      <c r="C41" s="101" t="s">
        <v>38</v>
      </c>
      <c r="D41" s="205"/>
      <c r="E41" s="149">
        <f>E26+E27+E40</f>
        <v>21548.05</v>
      </c>
      <c r="F41" s="78"/>
    </row>
    <row r="42" spans="2:6" customFormat="1">
      <c r="B42" s="94"/>
      <c r="C42" s="94"/>
      <c r="D42" s="95"/>
      <c r="E42" s="95"/>
      <c r="F42" s="78"/>
    </row>
    <row r="43" spans="2:6" customFormat="1" ht="13.5">
      <c r="B43" s="359" t="s">
        <v>60</v>
      </c>
      <c r="C43" s="371"/>
      <c r="D43" s="371"/>
      <c r="E43" s="371"/>
    </row>
    <row r="44" spans="2:6" customFormat="1" ht="18" customHeight="1" thickBot="1">
      <c r="B44" s="357" t="s">
        <v>204</v>
      </c>
      <c r="C44" s="370"/>
      <c r="D44" s="370"/>
      <c r="E44" s="370"/>
    </row>
    <row r="45" spans="2:6" customFormat="1" ht="13.5" thickBot="1">
      <c r="B45" s="222"/>
      <c r="C45" s="30" t="s">
        <v>39</v>
      </c>
      <c r="D45" s="71" t="s">
        <v>223</v>
      </c>
      <c r="E45" s="29" t="s">
        <v>267</v>
      </c>
    </row>
    <row r="46" spans="2:6" customFormat="1">
      <c r="B46" s="13" t="s">
        <v>18</v>
      </c>
      <c r="C46" s="31" t="s">
        <v>188</v>
      </c>
      <c r="D46" s="102"/>
      <c r="E46" s="28"/>
    </row>
    <row r="47" spans="2:6" customFormat="1">
      <c r="B47" s="184" t="s">
        <v>4</v>
      </c>
      <c r="C47" s="185" t="s">
        <v>40</v>
      </c>
      <c r="D47" s="206"/>
      <c r="E47" s="150">
        <v>160.4091</v>
      </c>
    </row>
    <row r="48" spans="2:6" customFormat="1">
      <c r="B48" s="186" t="s">
        <v>6</v>
      </c>
      <c r="C48" s="187" t="s">
        <v>41</v>
      </c>
      <c r="D48" s="207"/>
      <c r="E48" s="150">
        <v>199.22380000000001</v>
      </c>
    </row>
    <row r="49" spans="2:5" customFormat="1">
      <c r="B49" s="121" t="s">
        <v>23</v>
      </c>
      <c r="C49" s="125" t="s">
        <v>189</v>
      </c>
      <c r="D49" s="208"/>
      <c r="E49" s="150"/>
    </row>
    <row r="50" spans="2:5" customFormat="1">
      <c r="B50" s="184" t="s">
        <v>4</v>
      </c>
      <c r="C50" s="185" t="s">
        <v>40</v>
      </c>
      <c r="D50" s="206"/>
      <c r="E50" s="150">
        <v>149.47999999999999</v>
      </c>
    </row>
    <row r="51" spans="2:5" customFormat="1">
      <c r="B51" s="184" t="s">
        <v>6</v>
      </c>
      <c r="C51" s="185" t="s">
        <v>190</v>
      </c>
      <c r="D51" s="209"/>
      <c r="E51" s="76">
        <v>107.61</v>
      </c>
    </row>
    <row r="52" spans="2:5" customFormat="1">
      <c r="B52" s="184" t="s">
        <v>8</v>
      </c>
      <c r="C52" s="185" t="s">
        <v>191</v>
      </c>
      <c r="D52" s="209"/>
      <c r="E52" s="76">
        <v>136.74</v>
      </c>
    </row>
    <row r="53" spans="2:5" customFormat="1" ht="13.5" customHeight="1" thickBot="1">
      <c r="B53" s="188" t="s">
        <v>9</v>
      </c>
      <c r="C53" s="189" t="s">
        <v>41</v>
      </c>
      <c r="D53" s="210"/>
      <c r="E53" s="234">
        <v>108.16</v>
      </c>
    </row>
    <row r="54" spans="2:5" customFormat="1">
      <c r="B54" s="110"/>
      <c r="C54" s="111"/>
      <c r="D54" s="112"/>
      <c r="E54" s="112"/>
    </row>
    <row r="55" spans="2:5" customFormat="1" ht="13.5">
      <c r="B55" s="359" t="s">
        <v>62</v>
      </c>
      <c r="C55" s="360"/>
      <c r="D55" s="360"/>
      <c r="E55" s="360"/>
    </row>
    <row r="56" spans="2:5" customFormat="1" ht="17.25" customHeight="1" thickBot="1">
      <c r="B56" s="357" t="s">
        <v>192</v>
      </c>
      <c r="C56" s="361"/>
      <c r="D56" s="361"/>
      <c r="E56" s="361"/>
    </row>
    <row r="57" spans="2:5" customFormat="1" ht="23.25" thickBot="1">
      <c r="B57" s="352" t="s">
        <v>42</v>
      </c>
      <c r="C57" s="353"/>
      <c r="D57" s="18" t="s">
        <v>205</v>
      </c>
      <c r="E57" s="19" t="s">
        <v>193</v>
      </c>
    </row>
    <row r="58" spans="2:5" customFormat="1">
      <c r="B58" s="20" t="s">
        <v>18</v>
      </c>
      <c r="C58" s="127" t="s">
        <v>43</v>
      </c>
      <c r="D58" s="128">
        <f>D64</f>
        <v>21548.05</v>
      </c>
      <c r="E58" s="32">
        <f>D58/E21</f>
        <v>1</v>
      </c>
    </row>
    <row r="59" spans="2:5" customFormat="1" ht="25.5">
      <c r="B59" s="124" t="s">
        <v>4</v>
      </c>
      <c r="C59" s="22" t="s">
        <v>44</v>
      </c>
      <c r="D59" s="81">
        <v>0</v>
      </c>
      <c r="E59" s="82">
        <v>0</v>
      </c>
    </row>
    <row r="60" spans="2:5" customFormat="1" ht="25.5">
      <c r="B60" s="103" t="s">
        <v>6</v>
      </c>
      <c r="C60" s="15" t="s">
        <v>45</v>
      </c>
      <c r="D60" s="79">
        <v>0</v>
      </c>
      <c r="E60" s="80">
        <v>0</v>
      </c>
    </row>
    <row r="61" spans="2:5" customFormat="1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 customFormat="1">
      <c r="B62" s="103" t="s">
        <v>9</v>
      </c>
      <c r="C62" s="15" t="s">
        <v>47</v>
      </c>
      <c r="D62" s="79">
        <v>0</v>
      </c>
      <c r="E62" s="80">
        <v>0</v>
      </c>
    </row>
    <row r="63" spans="2:5" customFormat="1">
      <c r="B63" s="103" t="s">
        <v>29</v>
      </c>
      <c r="C63" s="15" t="s">
        <v>48</v>
      </c>
      <c r="D63" s="79">
        <v>0</v>
      </c>
      <c r="E63" s="80">
        <v>0</v>
      </c>
    </row>
    <row r="64" spans="2:5" customFormat="1">
      <c r="B64" s="124" t="s">
        <v>31</v>
      </c>
      <c r="C64" s="22" t="s">
        <v>49</v>
      </c>
      <c r="D64" s="81">
        <f>E21</f>
        <v>21548.05</v>
      </c>
      <c r="E64" s="82">
        <f>E58</f>
        <v>1</v>
      </c>
    </row>
    <row r="65" spans="2:5" customFormat="1">
      <c r="B65" s="124" t="s">
        <v>33</v>
      </c>
      <c r="C65" s="22" t="s">
        <v>194</v>
      </c>
      <c r="D65" s="81">
        <v>0</v>
      </c>
      <c r="E65" s="82">
        <v>0</v>
      </c>
    </row>
    <row r="66" spans="2:5" customFormat="1">
      <c r="B66" s="124" t="s">
        <v>50</v>
      </c>
      <c r="C66" s="22" t="s">
        <v>51</v>
      </c>
      <c r="D66" s="81">
        <v>0</v>
      </c>
      <c r="E66" s="82">
        <v>0</v>
      </c>
    </row>
    <row r="67" spans="2:5" customFormat="1">
      <c r="B67" s="103" t="s">
        <v>52</v>
      </c>
      <c r="C67" s="15" t="s">
        <v>53</v>
      </c>
      <c r="D67" s="79">
        <v>0</v>
      </c>
      <c r="E67" s="80">
        <v>0</v>
      </c>
    </row>
    <row r="68" spans="2:5" customFormat="1">
      <c r="B68" s="103" t="s">
        <v>54</v>
      </c>
      <c r="C68" s="15" t="s">
        <v>55</v>
      </c>
      <c r="D68" s="79">
        <v>0</v>
      </c>
      <c r="E68" s="80">
        <v>0</v>
      </c>
    </row>
    <row r="69" spans="2:5" customFormat="1">
      <c r="B69" s="103" t="s">
        <v>56</v>
      </c>
      <c r="C69" s="15" t="s">
        <v>57</v>
      </c>
      <c r="D69" s="311">
        <v>0</v>
      </c>
      <c r="E69" s="80">
        <v>0</v>
      </c>
    </row>
    <row r="70" spans="2:5" customFormat="1">
      <c r="B70" s="130" t="s">
        <v>58</v>
      </c>
      <c r="C70" s="114" t="s">
        <v>59</v>
      </c>
      <c r="D70" s="115">
        <v>0</v>
      </c>
      <c r="E70" s="116">
        <v>0</v>
      </c>
    </row>
    <row r="71" spans="2:5" customFormat="1">
      <c r="B71" s="131" t="s">
        <v>23</v>
      </c>
      <c r="C71" s="122" t="s">
        <v>61</v>
      </c>
      <c r="D71" s="123">
        <v>0</v>
      </c>
      <c r="E71" s="67">
        <v>0</v>
      </c>
    </row>
    <row r="72" spans="2:5" customFormat="1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customFormat="1">
      <c r="B73" s="133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1" t="s">
        <v>64</v>
      </c>
      <c r="C74" s="122" t="s">
        <v>66</v>
      </c>
      <c r="D74" s="123">
        <f>D58</f>
        <v>21548.05</v>
      </c>
      <c r="E74" s="67">
        <f>E58+E72-E73</f>
        <v>1</v>
      </c>
    </row>
    <row r="75" spans="2:5" customFormat="1">
      <c r="B75" s="103" t="s">
        <v>4</v>
      </c>
      <c r="C75" s="15" t="s">
        <v>67</v>
      </c>
      <c r="D75" s="79">
        <f>D74</f>
        <v>21548.05</v>
      </c>
      <c r="E75" s="80">
        <f>E74</f>
        <v>1</v>
      </c>
    </row>
    <row r="76" spans="2:5" customFormat="1">
      <c r="B76" s="103" t="s">
        <v>6</v>
      </c>
      <c r="C76" s="15" t="s">
        <v>195</v>
      </c>
      <c r="D76" s="79">
        <v>0</v>
      </c>
      <c r="E76" s="80">
        <v>0</v>
      </c>
    </row>
    <row r="77" spans="2:5" customFormat="1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233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62665.32</v>
      </c>
      <c r="E11" s="258">
        <f>E12</f>
        <v>53480.71</v>
      </c>
    </row>
    <row r="12" spans="2:5">
      <c r="B12" s="173" t="s">
        <v>4</v>
      </c>
      <c r="C12" s="174" t="s">
        <v>5</v>
      </c>
      <c r="D12" s="261">
        <v>62665.32</v>
      </c>
      <c r="E12" s="262">
        <v>53480.71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62665.32</v>
      </c>
      <c r="E21" s="149">
        <f>E11</f>
        <v>53480.71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7702.11</v>
      </c>
      <c r="E26" s="232">
        <f>D21</f>
        <v>62665.32</v>
      </c>
    </row>
    <row r="27" spans="2:6">
      <c r="B27" s="9" t="s">
        <v>17</v>
      </c>
      <c r="C27" s="10" t="s">
        <v>187</v>
      </c>
      <c r="D27" s="201">
        <v>43949.159999999996</v>
      </c>
      <c r="E27" s="225">
        <f>E28-E32</f>
        <v>7076.4700000000084</v>
      </c>
      <c r="F27" s="72"/>
    </row>
    <row r="28" spans="2:6">
      <c r="B28" s="9" t="s">
        <v>18</v>
      </c>
      <c r="C28" s="10" t="s">
        <v>19</v>
      </c>
      <c r="D28" s="201">
        <v>79517.53</v>
      </c>
      <c r="E28" s="226">
        <f>E29+E30+E31</f>
        <v>49805.41</v>
      </c>
      <c r="F28" s="72"/>
    </row>
    <row r="29" spans="2:6">
      <c r="B29" s="181" t="s">
        <v>4</v>
      </c>
      <c r="C29" s="174" t="s">
        <v>20</v>
      </c>
      <c r="D29" s="202">
        <v>9389.52</v>
      </c>
      <c r="E29" s="227">
        <v>15932.61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70128.009999999995</v>
      </c>
      <c r="E31" s="227">
        <v>33872.800000000003</v>
      </c>
      <c r="F31" s="72"/>
    </row>
    <row r="32" spans="2:6">
      <c r="B32" s="93" t="s">
        <v>23</v>
      </c>
      <c r="C32" s="11" t="s">
        <v>24</v>
      </c>
      <c r="D32" s="201">
        <v>35568.370000000003</v>
      </c>
      <c r="E32" s="226">
        <f>E33+E35+E37+E39</f>
        <v>42728.939999999995</v>
      </c>
      <c r="F32" s="72"/>
    </row>
    <row r="33" spans="2:6">
      <c r="B33" s="181" t="s">
        <v>4</v>
      </c>
      <c r="C33" s="174" t="s">
        <v>25</v>
      </c>
      <c r="D33" s="202">
        <v>289.14</v>
      </c>
      <c r="E33" s="227">
        <v>3994.46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302.70999999999998</v>
      </c>
      <c r="E35" s="227">
        <v>465.69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827.51</v>
      </c>
      <c r="E37" s="227">
        <v>983.45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34149.01</v>
      </c>
      <c r="E39" s="228">
        <v>37285.339999999997</v>
      </c>
      <c r="F39" s="72"/>
    </row>
    <row r="40" spans="2:6" ht="13.5" thickBot="1">
      <c r="B40" s="98" t="s">
        <v>35</v>
      </c>
      <c r="C40" s="99" t="s">
        <v>36</v>
      </c>
      <c r="D40" s="204">
        <v>11014.05</v>
      </c>
      <c r="E40" s="233">
        <v>-16261.08</v>
      </c>
    </row>
    <row r="41" spans="2:6" ht="13.5" thickBot="1">
      <c r="B41" s="100" t="s">
        <v>37</v>
      </c>
      <c r="C41" s="101" t="s">
        <v>38</v>
      </c>
      <c r="D41" s="205">
        <v>62665.319999999992</v>
      </c>
      <c r="E41" s="149">
        <f>E26+E27+E40</f>
        <v>53480.710000000006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1199.7049999999999</v>
      </c>
      <c r="E47" s="150">
        <v>7942.3720000000003</v>
      </c>
    </row>
    <row r="48" spans="2:6">
      <c r="B48" s="186" t="s">
        <v>6</v>
      </c>
      <c r="C48" s="187" t="s">
        <v>41</v>
      </c>
      <c r="D48" s="207">
        <v>7942.3720000000003</v>
      </c>
      <c r="E48" s="150">
        <v>8330.3289999999997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6.42</v>
      </c>
      <c r="E50" s="150">
        <v>7.89</v>
      </c>
    </row>
    <row r="51" spans="2:5">
      <c r="B51" s="184" t="s">
        <v>6</v>
      </c>
      <c r="C51" s="185" t="s">
        <v>190</v>
      </c>
      <c r="D51" s="209">
        <v>6.42</v>
      </c>
      <c r="E51" s="76">
        <v>6.36</v>
      </c>
    </row>
    <row r="52" spans="2:5">
      <c r="B52" s="184" t="s">
        <v>8</v>
      </c>
      <c r="C52" s="185" t="s">
        <v>191</v>
      </c>
      <c r="D52" s="209">
        <v>7.99</v>
      </c>
      <c r="E52" s="76">
        <v>8.6999999999999993</v>
      </c>
    </row>
    <row r="53" spans="2:5" ht="13.5" customHeight="1" thickBot="1">
      <c r="B53" s="188" t="s">
        <v>9</v>
      </c>
      <c r="C53" s="189" t="s">
        <v>41</v>
      </c>
      <c r="D53" s="210">
        <v>7.89</v>
      </c>
      <c r="E53" s="234">
        <v>6.42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53480.71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53480.71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53480.71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53480.71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234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51498.74</v>
      </c>
      <c r="E11" s="258">
        <f>E12</f>
        <v>32188.18</v>
      </c>
    </row>
    <row r="12" spans="2:5">
      <c r="B12" s="173" t="s">
        <v>4</v>
      </c>
      <c r="C12" s="174" t="s">
        <v>5</v>
      </c>
      <c r="D12" s="261">
        <v>51498.74</v>
      </c>
      <c r="E12" s="262">
        <v>32188.18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51498.74</v>
      </c>
      <c r="E21" s="149">
        <f>E11</f>
        <v>32188.18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51862.78</v>
      </c>
      <c r="E26" s="232">
        <f>D21</f>
        <v>51498.74</v>
      </c>
    </row>
    <row r="27" spans="2:6">
      <c r="B27" s="9" t="s">
        <v>17</v>
      </c>
      <c r="C27" s="10" t="s">
        <v>187</v>
      </c>
      <c r="D27" s="201">
        <v>-3572.8</v>
      </c>
      <c r="E27" s="225">
        <f>E28-E32</f>
        <v>-16598.78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3572.8</v>
      </c>
      <c r="E32" s="226">
        <f>E33+E35+E37+E39</f>
        <v>16598.78</v>
      </c>
      <c r="F32" s="72"/>
    </row>
    <row r="33" spans="2:6">
      <c r="B33" s="181" t="s">
        <v>4</v>
      </c>
      <c r="C33" s="174" t="s">
        <v>25</v>
      </c>
      <c r="D33" s="202">
        <v>2507.92</v>
      </c>
      <c r="E33" s="227">
        <v>15754.93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310.62</v>
      </c>
      <c r="E35" s="227">
        <v>267.51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754.26</v>
      </c>
      <c r="E37" s="227">
        <v>576.34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3208.76</v>
      </c>
      <c r="E40" s="233">
        <v>-2711.78</v>
      </c>
    </row>
    <row r="41" spans="2:6" ht="13.5" thickBot="1">
      <c r="B41" s="100" t="s">
        <v>37</v>
      </c>
      <c r="C41" s="101" t="s">
        <v>38</v>
      </c>
      <c r="D41" s="205">
        <v>51498.74</v>
      </c>
      <c r="E41" s="149">
        <f>E26+E27+E40</f>
        <v>32188.18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5165.616</v>
      </c>
      <c r="E47" s="150">
        <v>4826.4989999999998</v>
      </c>
    </row>
    <row r="48" spans="2:6">
      <c r="B48" s="186" t="s">
        <v>6</v>
      </c>
      <c r="C48" s="187" t="s">
        <v>41</v>
      </c>
      <c r="D48" s="207">
        <v>4826.4989999999998</v>
      </c>
      <c r="E48" s="150">
        <v>3241.509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10.039999999999999</v>
      </c>
      <c r="E50" s="150">
        <v>10.67</v>
      </c>
    </row>
    <row r="51" spans="2:5">
      <c r="B51" s="184" t="s">
        <v>6</v>
      </c>
      <c r="C51" s="185" t="s">
        <v>190</v>
      </c>
      <c r="D51" s="209">
        <v>10.039999999999999</v>
      </c>
      <c r="E51" s="150">
        <v>9.89</v>
      </c>
    </row>
    <row r="52" spans="2:5">
      <c r="B52" s="184" t="s">
        <v>8</v>
      </c>
      <c r="C52" s="185" t="s">
        <v>191</v>
      </c>
      <c r="D52" s="209">
        <v>10.68</v>
      </c>
      <c r="E52" s="76">
        <v>10.87</v>
      </c>
    </row>
    <row r="53" spans="2:5" ht="12.75" customHeight="1" thickBot="1">
      <c r="B53" s="188" t="s">
        <v>9</v>
      </c>
      <c r="C53" s="189" t="s">
        <v>41</v>
      </c>
      <c r="D53" s="210">
        <v>10.67</v>
      </c>
      <c r="E53" s="234">
        <v>9.93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32188.18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32188.18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32188.18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32188.18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235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4421637.0599999996</v>
      </c>
      <c r="E11" s="258">
        <f>E12</f>
        <v>2341979.71</v>
      </c>
    </row>
    <row r="12" spans="2:5">
      <c r="B12" s="173" t="s">
        <v>4</v>
      </c>
      <c r="C12" s="174" t="s">
        <v>5</v>
      </c>
      <c r="D12" s="261">
        <v>4421637.0599999996</v>
      </c>
      <c r="E12" s="262">
        <v>2341979.71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4421637.0599999996</v>
      </c>
      <c r="E21" s="149">
        <f>E11</f>
        <v>2341979.71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8930425.0099999998</v>
      </c>
      <c r="E26" s="232">
        <f>D21</f>
        <v>4421637.0599999996</v>
      </c>
    </row>
    <row r="27" spans="2:6">
      <c r="B27" s="9" t="s">
        <v>17</v>
      </c>
      <c r="C27" s="10" t="s">
        <v>187</v>
      </c>
      <c r="D27" s="201">
        <v>-4749625.7200000007</v>
      </c>
      <c r="E27" s="225">
        <f>E28-E32</f>
        <v>-1916872.34</v>
      </c>
      <c r="F27" s="72"/>
    </row>
    <row r="28" spans="2:6">
      <c r="B28" s="9" t="s">
        <v>18</v>
      </c>
      <c r="C28" s="10" t="s">
        <v>19</v>
      </c>
      <c r="D28" s="201">
        <v>377750.13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377750.13</v>
      </c>
      <c r="E31" s="227"/>
      <c r="F31" s="72"/>
    </row>
    <row r="32" spans="2:6">
      <c r="B32" s="93" t="s">
        <v>23</v>
      </c>
      <c r="C32" s="11" t="s">
        <v>24</v>
      </c>
      <c r="D32" s="201">
        <v>5127375.8500000006</v>
      </c>
      <c r="E32" s="226">
        <f>E33+E35+E37+E39</f>
        <v>1916872.34</v>
      </c>
      <c r="F32" s="72"/>
    </row>
    <row r="33" spans="2:6">
      <c r="B33" s="181" t="s">
        <v>4</v>
      </c>
      <c r="C33" s="174" t="s">
        <v>25</v>
      </c>
      <c r="D33" s="202">
        <v>457311.63</v>
      </c>
      <c r="E33" s="227">
        <v>764327.96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4892.38</v>
      </c>
      <c r="E35" s="227">
        <v>4870.84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99538.1</v>
      </c>
      <c r="E37" s="227">
        <v>49066.68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4565633.74</v>
      </c>
      <c r="E39" s="228">
        <v>1098606.8600000001</v>
      </c>
      <c r="F39" s="72"/>
    </row>
    <row r="40" spans="2:6" ht="13.5" thickBot="1">
      <c r="B40" s="98" t="s">
        <v>35</v>
      </c>
      <c r="C40" s="99" t="s">
        <v>36</v>
      </c>
      <c r="D40" s="204">
        <v>240837.77</v>
      </c>
      <c r="E40" s="233">
        <v>-162785.01</v>
      </c>
    </row>
    <row r="41" spans="2:6" ht="13.5" thickBot="1">
      <c r="B41" s="100" t="s">
        <v>37</v>
      </c>
      <c r="C41" s="101" t="s">
        <v>38</v>
      </c>
      <c r="D41" s="205">
        <v>4421637.0599999987</v>
      </c>
      <c r="E41" s="149">
        <f>E26+E27+E40</f>
        <v>2341979.71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496686.59700000001</v>
      </c>
      <c r="E47" s="150">
        <v>237978.31299999999</v>
      </c>
    </row>
    <row r="48" spans="2:6">
      <c r="B48" s="186" t="s">
        <v>6</v>
      </c>
      <c r="C48" s="187" t="s">
        <v>41</v>
      </c>
      <c r="D48" s="207">
        <v>237978.31299999999</v>
      </c>
      <c r="E48" s="150">
        <v>133067.02900000001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17.98</v>
      </c>
      <c r="E50" s="150">
        <v>18.579999999999998</v>
      </c>
    </row>
    <row r="51" spans="2:5">
      <c r="B51" s="184" t="s">
        <v>6</v>
      </c>
      <c r="C51" s="185" t="s">
        <v>190</v>
      </c>
      <c r="D51" s="209">
        <v>17.98</v>
      </c>
      <c r="E51" s="150">
        <v>17.559999999999999</v>
      </c>
    </row>
    <row r="52" spans="2:5">
      <c r="B52" s="184" t="s">
        <v>8</v>
      </c>
      <c r="C52" s="185" t="s">
        <v>191</v>
      </c>
      <c r="D52" s="209">
        <v>18.649999999999999</v>
      </c>
      <c r="E52" s="76">
        <v>18.66</v>
      </c>
    </row>
    <row r="53" spans="2:5" ht="12.75" customHeight="1" thickBot="1">
      <c r="B53" s="188" t="s">
        <v>9</v>
      </c>
      <c r="C53" s="189" t="s">
        <v>41</v>
      </c>
      <c r="D53" s="210">
        <v>18.579999999999998</v>
      </c>
      <c r="E53" s="234">
        <v>17.600000000000001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2341979.71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2341979.71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2341979.71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2341979.71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236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293037.65000000002</v>
      </c>
      <c r="E11" s="258">
        <f>E12</f>
        <v>390879.69</v>
      </c>
    </row>
    <row r="12" spans="2:5">
      <c r="B12" s="173" t="s">
        <v>4</v>
      </c>
      <c r="C12" s="174" t="s">
        <v>5</v>
      </c>
      <c r="D12" s="261">
        <v>293037.65000000002</v>
      </c>
      <c r="E12" s="262">
        <v>390879.69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293037.65000000002</v>
      </c>
      <c r="E21" s="149">
        <f>E11</f>
        <v>390879.69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493752.73</v>
      </c>
      <c r="E26" s="232">
        <f>D21</f>
        <v>293037.65000000002</v>
      </c>
    </row>
    <row r="27" spans="2:6">
      <c r="B27" s="9" t="s">
        <v>17</v>
      </c>
      <c r="C27" s="10" t="s">
        <v>187</v>
      </c>
      <c r="D27" s="201">
        <v>-209417.68</v>
      </c>
      <c r="E27" s="225">
        <f>E28-E32</f>
        <v>91028.73000000001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173407.66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173407.66</v>
      </c>
      <c r="F31" s="72"/>
    </row>
    <row r="32" spans="2:6">
      <c r="B32" s="93" t="s">
        <v>23</v>
      </c>
      <c r="C32" s="11" t="s">
        <v>24</v>
      </c>
      <c r="D32" s="201">
        <v>209417.68</v>
      </c>
      <c r="E32" s="226">
        <f>E33+E35+E37+E39</f>
        <v>82378.929999999993</v>
      </c>
      <c r="F32" s="72"/>
    </row>
    <row r="33" spans="2:6">
      <c r="B33" s="181" t="s">
        <v>4</v>
      </c>
      <c r="C33" s="174" t="s">
        <v>25</v>
      </c>
      <c r="D33" s="202">
        <v>159406.63</v>
      </c>
      <c r="E33" s="227">
        <v>74889.899999999994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1945.64</v>
      </c>
      <c r="E35" s="227">
        <v>1997.94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5523.11</v>
      </c>
      <c r="E37" s="227">
        <v>5491.09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42542.3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8702.6</v>
      </c>
      <c r="E40" s="233">
        <v>6813.31</v>
      </c>
    </row>
    <row r="41" spans="2:6" ht="13.5" thickBot="1">
      <c r="B41" s="100" t="s">
        <v>37</v>
      </c>
      <c r="C41" s="101" t="s">
        <v>38</v>
      </c>
      <c r="D41" s="205">
        <v>293037.64999999997</v>
      </c>
      <c r="E41" s="149">
        <f>E26+E27+E40</f>
        <v>390879.69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40907.434000000001</v>
      </c>
      <c r="E47" s="150">
        <v>23727.744999999999</v>
      </c>
    </row>
    <row r="48" spans="2:6">
      <c r="B48" s="186" t="s">
        <v>6</v>
      </c>
      <c r="C48" s="187" t="s">
        <v>41</v>
      </c>
      <c r="D48" s="207">
        <v>23727.744999999999</v>
      </c>
      <c r="E48" s="150">
        <v>31096.236000000001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12.07</v>
      </c>
      <c r="E50" s="150">
        <v>12.35</v>
      </c>
    </row>
    <row r="51" spans="2:5">
      <c r="B51" s="184" t="s">
        <v>6</v>
      </c>
      <c r="C51" s="185" t="s">
        <v>190</v>
      </c>
      <c r="D51" s="209">
        <v>12.07</v>
      </c>
      <c r="E51" s="150">
        <v>12.35</v>
      </c>
    </row>
    <row r="52" spans="2:5">
      <c r="B52" s="184" t="s">
        <v>8</v>
      </c>
      <c r="C52" s="185" t="s">
        <v>191</v>
      </c>
      <c r="D52" s="209">
        <v>12.35</v>
      </c>
      <c r="E52" s="76">
        <v>12.57</v>
      </c>
    </row>
    <row r="53" spans="2:5" ht="13.5" customHeight="1" thickBot="1">
      <c r="B53" s="188" t="s">
        <v>9</v>
      </c>
      <c r="C53" s="189" t="s">
        <v>41</v>
      </c>
      <c r="D53" s="210">
        <v>12.35</v>
      </c>
      <c r="E53" s="234">
        <v>12.57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390879.69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390879.69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390879.69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390879.69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237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868336.04</v>
      </c>
      <c r="E11" s="258">
        <f>E12</f>
        <v>772365.77</v>
      </c>
    </row>
    <row r="12" spans="2:5">
      <c r="B12" s="173" t="s">
        <v>4</v>
      </c>
      <c r="C12" s="174" t="s">
        <v>5</v>
      </c>
      <c r="D12" s="261">
        <v>868336.04</v>
      </c>
      <c r="E12" s="262">
        <v>772365.77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868336.04</v>
      </c>
      <c r="E21" s="149">
        <f>E11</f>
        <v>772365.77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1027197.07</v>
      </c>
      <c r="E26" s="232">
        <f>D21</f>
        <v>868336.04</v>
      </c>
    </row>
    <row r="27" spans="2:6">
      <c r="B27" s="9" t="s">
        <v>17</v>
      </c>
      <c r="C27" s="10" t="s">
        <v>187</v>
      </c>
      <c r="D27" s="201">
        <v>-205675.68000000002</v>
      </c>
      <c r="E27" s="225">
        <f>E28-E32</f>
        <v>-13578.929999999998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205675.68000000002</v>
      </c>
      <c r="E32" s="226">
        <f>E33+E35+E37+E39</f>
        <v>13578.929999999998</v>
      </c>
      <c r="F32" s="72"/>
    </row>
    <row r="33" spans="2:6">
      <c r="B33" s="181" t="s">
        <v>4</v>
      </c>
      <c r="C33" s="174" t="s">
        <v>25</v>
      </c>
      <c r="D33" s="202">
        <v>189505.28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71.95</v>
      </c>
      <c r="E35" s="227">
        <v>153.22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16098.45</v>
      </c>
      <c r="E37" s="227">
        <v>13425.71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46814.65</v>
      </c>
      <c r="E40" s="233">
        <v>-82391.34</v>
      </c>
    </row>
    <row r="41" spans="2:6" ht="13.5" thickBot="1">
      <c r="B41" s="100" t="s">
        <v>37</v>
      </c>
      <c r="C41" s="101" t="s">
        <v>38</v>
      </c>
      <c r="D41" s="205">
        <v>868336.03999999992</v>
      </c>
      <c r="E41" s="149">
        <f>E26+E27+E40</f>
        <v>772365.77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89789.953999999998</v>
      </c>
      <c r="E47" s="150">
        <v>72482.14</v>
      </c>
    </row>
    <row r="48" spans="2:6">
      <c r="B48" s="186" t="s">
        <v>6</v>
      </c>
      <c r="C48" s="187" t="s">
        <v>41</v>
      </c>
      <c r="D48" s="207">
        <v>72482.14</v>
      </c>
      <c r="E48" s="150">
        <v>71317.245999999999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11.44</v>
      </c>
      <c r="E50" s="150">
        <v>11.98</v>
      </c>
    </row>
    <row r="51" spans="2:5">
      <c r="B51" s="184" t="s">
        <v>6</v>
      </c>
      <c r="C51" s="185" t="s">
        <v>190</v>
      </c>
      <c r="D51" s="209">
        <v>11.44</v>
      </c>
      <c r="E51" s="150">
        <v>10.76</v>
      </c>
    </row>
    <row r="52" spans="2:5">
      <c r="B52" s="184" t="s">
        <v>8</v>
      </c>
      <c r="C52" s="185" t="s">
        <v>191</v>
      </c>
      <c r="D52" s="209">
        <v>12.1</v>
      </c>
      <c r="E52" s="76">
        <v>12.2</v>
      </c>
    </row>
    <row r="53" spans="2:5" ht="13.5" customHeight="1" thickBot="1">
      <c r="B53" s="188" t="s">
        <v>9</v>
      </c>
      <c r="C53" s="189" t="s">
        <v>41</v>
      </c>
      <c r="D53" s="210">
        <v>11.98</v>
      </c>
      <c r="E53" s="234">
        <v>10.83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772365.77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772365.77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772365.77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772365.77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81"/>
  <sheetViews>
    <sheetView zoomScale="80" zoomScaleNormal="80" workbookViewId="0">
      <selection activeCell="H32" sqref="H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3.85546875" customWidth="1"/>
    <col min="8" max="8" width="19.7109375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54" t="s">
        <v>0</v>
      </c>
      <c r="C2" s="354"/>
      <c r="D2" s="354"/>
      <c r="E2" s="354"/>
      <c r="L2" s="72"/>
    </row>
    <row r="3" spans="2:12" ht="15.75">
      <c r="B3" s="354" t="s">
        <v>290</v>
      </c>
      <c r="C3" s="354"/>
      <c r="D3" s="354"/>
      <c r="E3" s="354"/>
    </row>
    <row r="4" spans="2:12" ht="15">
      <c r="B4" s="86"/>
      <c r="C4" s="86"/>
      <c r="D4" s="86"/>
      <c r="E4" s="86"/>
    </row>
    <row r="5" spans="2:12" ht="21" customHeight="1">
      <c r="B5" s="355" t="s">
        <v>1</v>
      </c>
      <c r="C5" s="355"/>
      <c r="D5" s="355"/>
      <c r="E5" s="355"/>
    </row>
    <row r="6" spans="2:12" ht="14.25">
      <c r="B6" s="356" t="s">
        <v>105</v>
      </c>
      <c r="C6" s="356"/>
      <c r="D6" s="356"/>
      <c r="E6" s="356"/>
    </row>
    <row r="7" spans="2:12" ht="14.25">
      <c r="B7" s="90"/>
      <c r="C7" s="90"/>
      <c r="D7" s="90"/>
      <c r="E7" s="90"/>
    </row>
    <row r="8" spans="2:12" ht="13.5">
      <c r="B8" s="358" t="s">
        <v>18</v>
      </c>
      <c r="C8" s="360"/>
      <c r="D8" s="360"/>
      <c r="E8" s="360"/>
    </row>
    <row r="9" spans="2:12" ht="16.5" thickBot="1">
      <c r="B9" s="357" t="s">
        <v>179</v>
      </c>
      <c r="C9" s="357"/>
      <c r="D9" s="357"/>
      <c r="E9" s="357"/>
    </row>
    <row r="10" spans="2:12" ht="13.5" thickBot="1">
      <c r="B10" s="87"/>
      <c r="C10" s="77" t="s">
        <v>2</v>
      </c>
      <c r="D10" s="71" t="s">
        <v>223</v>
      </c>
      <c r="E10" s="29" t="s">
        <v>267</v>
      </c>
      <c r="G10" s="72"/>
    </row>
    <row r="11" spans="2:12">
      <c r="B11" s="91" t="s">
        <v>3</v>
      </c>
      <c r="C11" s="129" t="s">
        <v>185</v>
      </c>
      <c r="D11" s="257">
        <v>499622.63</v>
      </c>
      <c r="E11" s="258">
        <f>E12+E13+E14</f>
        <v>473581.32</v>
      </c>
    </row>
    <row r="12" spans="2:12">
      <c r="B12" s="107" t="s">
        <v>4</v>
      </c>
      <c r="C12" s="6" t="s">
        <v>5</v>
      </c>
      <c r="D12" s="261">
        <v>498350.51</v>
      </c>
      <c r="E12" s="262">
        <v>471668.53</v>
      </c>
    </row>
    <row r="13" spans="2:12">
      <c r="B13" s="107" t="s">
        <v>6</v>
      </c>
      <c r="C13" s="69" t="s">
        <v>7</v>
      </c>
      <c r="D13" s="261"/>
      <c r="E13" s="262"/>
    </row>
    <row r="14" spans="2:12">
      <c r="B14" s="107" t="s">
        <v>8</v>
      </c>
      <c r="C14" s="69" t="s">
        <v>10</v>
      </c>
      <c r="D14" s="261">
        <v>1272.1199999999999</v>
      </c>
      <c r="E14" s="262">
        <f>E15</f>
        <v>1912.79</v>
      </c>
    </row>
    <row r="15" spans="2:12">
      <c r="B15" s="107" t="s">
        <v>182</v>
      </c>
      <c r="C15" s="69" t="s">
        <v>11</v>
      </c>
      <c r="D15" s="261">
        <v>1272.1199999999999</v>
      </c>
      <c r="E15" s="262">
        <v>1912.79</v>
      </c>
    </row>
    <row r="16" spans="2:12">
      <c r="B16" s="108" t="s">
        <v>183</v>
      </c>
      <c r="C16" s="92" t="s">
        <v>12</v>
      </c>
      <c r="D16" s="263"/>
      <c r="E16" s="264"/>
    </row>
    <row r="17" spans="2:11">
      <c r="B17" s="9" t="s">
        <v>13</v>
      </c>
      <c r="C17" s="11" t="s">
        <v>65</v>
      </c>
      <c r="D17" s="296">
        <v>727.82</v>
      </c>
      <c r="E17" s="266">
        <f>E18</f>
        <v>712.76</v>
      </c>
    </row>
    <row r="18" spans="2:11">
      <c r="B18" s="107" t="s">
        <v>4</v>
      </c>
      <c r="C18" s="6" t="s">
        <v>11</v>
      </c>
      <c r="D18" s="261">
        <v>727.82</v>
      </c>
      <c r="E18" s="306">
        <v>712.76</v>
      </c>
    </row>
    <row r="19" spans="2:11" ht="15" customHeight="1">
      <c r="B19" s="107" t="s">
        <v>6</v>
      </c>
      <c r="C19" s="69" t="s">
        <v>184</v>
      </c>
      <c r="D19" s="261"/>
      <c r="E19" s="262"/>
    </row>
    <row r="20" spans="2:11" ht="13.5" thickBot="1">
      <c r="B20" s="109" t="s">
        <v>8</v>
      </c>
      <c r="C20" s="70" t="s">
        <v>14</v>
      </c>
      <c r="D20" s="267"/>
      <c r="E20" s="268"/>
    </row>
    <row r="21" spans="2:11" ht="13.5" thickBot="1">
      <c r="B21" s="364" t="s">
        <v>186</v>
      </c>
      <c r="C21" s="365"/>
      <c r="D21" s="269">
        <v>498894.81</v>
      </c>
      <c r="E21" s="149">
        <f>E11-E17</f>
        <v>472868.56</v>
      </c>
      <c r="F21" s="78"/>
      <c r="G21" s="78"/>
      <c r="H21" s="163"/>
      <c r="J21" s="220"/>
      <c r="K21" s="68"/>
    </row>
    <row r="22" spans="2:11">
      <c r="B22" s="3"/>
      <c r="C22" s="7"/>
      <c r="D22" s="8"/>
      <c r="E22" s="8"/>
      <c r="G22" s="72"/>
    </row>
    <row r="23" spans="2:11" ht="13.5">
      <c r="B23" s="358" t="s">
        <v>180</v>
      </c>
      <c r="C23" s="366"/>
      <c r="D23" s="366"/>
      <c r="E23" s="366"/>
      <c r="G23" s="72"/>
    </row>
    <row r="24" spans="2:11" ht="16.5" customHeight="1" thickBot="1">
      <c r="B24" s="357" t="s">
        <v>181</v>
      </c>
      <c r="C24" s="367"/>
      <c r="D24" s="367"/>
      <c r="E24" s="367"/>
    </row>
    <row r="25" spans="2:11" ht="13.5" thickBot="1">
      <c r="B25" s="87"/>
      <c r="C25" s="5" t="s">
        <v>2</v>
      </c>
      <c r="D25" s="71" t="s">
        <v>223</v>
      </c>
      <c r="E25" s="29" t="s">
        <v>267</v>
      </c>
    </row>
    <row r="26" spans="2:11">
      <c r="B26" s="96" t="s">
        <v>15</v>
      </c>
      <c r="C26" s="97" t="s">
        <v>16</v>
      </c>
      <c r="D26" s="200">
        <v>330300.45</v>
      </c>
      <c r="E26" s="232">
        <f>D21</f>
        <v>498894.81</v>
      </c>
      <c r="G26" s="75"/>
    </row>
    <row r="27" spans="2:11">
      <c r="B27" s="9" t="s">
        <v>17</v>
      </c>
      <c r="C27" s="10" t="s">
        <v>187</v>
      </c>
      <c r="D27" s="201">
        <v>121266.71000000002</v>
      </c>
      <c r="E27" s="225">
        <f>E28-E32</f>
        <v>46275.179999999978</v>
      </c>
      <c r="F27" s="72"/>
      <c r="G27" s="75"/>
      <c r="H27" s="72"/>
      <c r="I27" s="72"/>
      <c r="J27" s="75"/>
    </row>
    <row r="28" spans="2:11">
      <c r="B28" s="9" t="s">
        <v>18</v>
      </c>
      <c r="C28" s="10" t="s">
        <v>19</v>
      </c>
      <c r="D28" s="201">
        <v>170138.02000000002</v>
      </c>
      <c r="E28" s="226">
        <v>162344.50999999998</v>
      </c>
      <c r="F28" s="72"/>
      <c r="G28" s="72"/>
      <c r="H28" s="72"/>
      <c r="I28" s="72"/>
      <c r="J28" s="75"/>
    </row>
    <row r="29" spans="2:11">
      <c r="B29" s="105" t="s">
        <v>4</v>
      </c>
      <c r="C29" s="6" t="s">
        <v>20</v>
      </c>
      <c r="D29" s="202">
        <v>167275.01</v>
      </c>
      <c r="E29" s="227">
        <v>145421.26999999999</v>
      </c>
      <c r="F29" s="72"/>
      <c r="G29" s="72"/>
      <c r="H29" s="72"/>
      <c r="I29" s="72"/>
      <c r="J29" s="75"/>
    </row>
    <row r="30" spans="2:11">
      <c r="B30" s="105" t="s">
        <v>6</v>
      </c>
      <c r="C30" s="6" t="s">
        <v>21</v>
      </c>
      <c r="D30" s="202"/>
      <c r="E30" s="227"/>
      <c r="F30" s="72"/>
      <c r="G30" s="72"/>
      <c r="H30" s="72"/>
      <c r="I30" s="72"/>
      <c r="J30" s="75"/>
    </row>
    <row r="31" spans="2:11">
      <c r="B31" s="105" t="s">
        <v>8</v>
      </c>
      <c r="C31" s="6" t="s">
        <v>22</v>
      </c>
      <c r="D31" s="202">
        <v>2863.01</v>
      </c>
      <c r="E31" s="227">
        <v>16923.240000000002</v>
      </c>
      <c r="F31" s="72"/>
      <c r="G31" s="72"/>
      <c r="H31" s="72"/>
      <c r="I31" s="72"/>
      <c r="J31" s="75"/>
    </row>
    <row r="32" spans="2:11">
      <c r="B32" s="93" t="s">
        <v>23</v>
      </c>
      <c r="C32" s="11" t="s">
        <v>24</v>
      </c>
      <c r="D32" s="201">
        <v>48871.310000000005</v>
      </c>
      <c r="E32" s="226">
        <f>SUM(E33:E39)</f>
        <v>116069.33</v>
      </c>
      <c r="F32" s="72"/>
      <c r="G32" s="75"/>
      <c r="H32" s="72"/>
      <c r="I32" s="72"/>
      <c r="J32" s="75"/>
    </row>
    <row r="33" spans="2:10">
      <c r="B33" s="105" t="s">
        <v>4</v>
      </c>
      <c r="C33" s="6" t="s">
        <v>25</v>
      </c>
      <c r="D33" s="202">
        <v>32948.75</v>
      </c>
      <c r="E33" s="227">
        <v>80658.320000000007</v>
      </c>
      <c r="F33" s="72"/>
      <c r="G33" s="72"/>
      <c r="H33" s="72"/>
      <c r="I33" s="72"/>
      <c r="J33" s="75"/>
    </row>
    <row r="34" spans="2:10">
      <c r="B34" s="105" t="s">
        <v>6</v>
      </c>
      <c r="C34" s="6" t="s">
        <v>26</v>
      </c>
      <c r="D34" s="202"/>
      <c r="E34" s="227"/>
      <c r="F34" s="72"/>
      <c r="G34" s="72"/>
      <c r="H34" s="72"/>
      <c r="I34" s="72"/>
      <c r="J34" s="75"/>
    </row>
    <row r="35" spans="2:10">
      <c r="B35" s="105" t="s">
        <v>8</v>
      </c>
      <c r="C35" s="6" t="s">
        <v>27</v>
      </c>
      <c r="D35" s="202">
        <v>12812.01</v>
      </c>
      <c r="E35" s="227">
        <v>14182.09</v>
      </c>
      <c r="F35" s="72"/>
      <c r="G35" s="72"/>
      <c r="H35" s="72"/>
      <c r="I35" s="72"/>
      <c r="J35" s="75"/>
    </row>
    <row r="36" spans="2:10">
      <c r="B36" s="105" t="s">
        <v>9</v>
      </c>
      <c r="C36" s="6" t="s">
        <v>28</v>
      </c>
      <c r="D36" s="202"/>
      <c r="E36" s="227"/>
      <c r="F36" s="72"/>
      <c r="G36" s="72"/>
      <c r="H36" s="72"/>
      <c r="I36" s="72"/>
      <c r="J36" s="75"/>
    </row>
    <row r="37" spans="2:10" ht="25.5">
      <c r="B37" s="105" t="s">
        <v>29</v>
      </c>
      <c r="C37" s="6" t="s">
        <v>30</v>
      </c>
      <c r="D37" s="202"/>
      <c r="E37" s="227"/>
      <c r="F37" s="72"/>
      <c r="G37" s="72"/>
      <c r="H37" s="72"/>
      <c r="I37" s="72"/>
      <c r="J37" s="75"/>
    </row>
    <row r="38" spans="2:10">
      <c r="B38" s="105" t="s">
        <v>31</v>
      </c>
      <c r="C38" s="6" t="s">
        <v>32</v>
      </c>
      <c r="D38" s="202"/>
      <c r="E38" s="227"/>
      <c r="F38" s="72"/>
      <c r="G38" s="72"/>
      <c r="H38" s="72"/>
      <c r="I38" s="72"/>
      <c r="J38" s="75"/>
    </row>
    <row r="39" spans="2:10">
      <c r="B39" s="106" t="s">
        <v>33</v>
      </c>
      <c r="C39" s="12" t="s">
        <v>34</v>
      </c>
      <c r="D39" s="203">
        <v>3110.55</v>
      </c>
      <c r="E39" s="228">
        <v>21228.92</v>
      </c>
      <c r="F39" s="72"/>
      <c r="G39" s="72"/>
      <c r="H39" s="72"/>
      <c r="I39" s="72"/>
      <c r="J39" s="75"/>
    </row>
    <row r="40" spans="2:10" ht="13.5" thickBot="1">
      <c r="B40" s="98" t="s">
        <v>35</v>
      </c>
      <c r="C40" s="99" t="s">
        <v>36</v>
      </c>
      <c r="D40" s="204">
        <v>47327.65</v>
      </c>
      <c r="E40" s="233">
        <v>-72301.429999999993</v>
      </c>
      <c r="G40" s="75"/>
    </row>
    <row r="41" spans="2:10" ht="13.5" thickBot="1">
      <c r="B41" s="100" t="s">
        <v>37</v>
      </c>
      <c r="C41" s="101" t="s">
        <v>38</v>
      </c>
      <c r="D41" s="205">
        <v>498894.81000000006</v>
      </c>
      <c r="E41" s="149">
        <f>E26+E27+E40</f>
        <v>472868.56</v>
      </c>
      <c r="F41" s="78"/>
      <c r="G41" s="75"/>
    </row>
    <row r="42" spans="2:10">
      <c r="B42" s="94"/>
      <c r="C42" s="94"/>
      <c r="D42" s="95"/>
      <c r="E42" s="95"/>
      <c r="F42" s="78"/>
      <c r="G42" s="68"/>
    </row>
    <row r="43" spans="2:10" ht="13.5">
      <c r="B43" s="359" t="s">
        <v>60</v>
      </c>
      <c r="C43" s="360"/>
      <c r="D43" s="360"/>
      <c r="E43" s="360"/>
      <c r="G43" s="72"/>
    </row>
    <row r="44" spans="2:10" ht="16.5" customHeight="1" thickBot="1">
      <c r="B44" s="357" t="s">
        <v>204</v>
      </c>
      <c r="C44" s="361"/>
      <c r="D44" s="361"/>
      <c r="E44" s="361"/>
      <c r="G44" s="72"/>
    </row>
    <row r="45" spans="2:10" ht="13.5" thickBot="1">
      <c r="B45" s="87"/>
      <c r="C45" s="30" t="s">
        <v>39</v>
      </c>
      <c r="D45" s="71" t="s">
        <v>223</v>
      </c>
      <c r="E45" s="29" t="s">
        <v>267</v>
      </c>
      <c r="G45" s="72"/>
    </row>
    <row r="46" spans="2:10">
      <c r="B46" s="13" t="s">
        <v>18</v>
      </c>
      <c r="C46" s="31" t="s">
        <v>188</v>
      </c>
      <c r="D46" s="102"/>
      <c r="E46" s="28"/>
      <c r="G46" s="72"/>
    </row>
    <row r="47" spans="2:10">
      <c r="B47" s="103" t="s">
        <v>4</v>
      </c>
      <c r="C47" s="15" t="s">
        <v>40</v>
      </c>
      <c r="D47" s="206">
        <v>31299.363300000001</v>
      </c>
      <c r="E47" s="74">
        <v>42123.054300000003</v>
      </c>
      <c r="G47" s="72"/>
    </row>
    <row r="48" spans="2:10">
      <c r="B48" s="124" t="s">
        <v>6</v>
      </c>
      <c r="C48" s="22" t="s">
        <v>41</v>
      </c>
      <c r="D48" s="207">
        <v>42123.054300000003</v>
      </c>
      <c r="E48" s="302">
        <v>46187.157399999996</v>
      </c>
      <c r="G48" s="192"/>
    </row>
    <row r="49" spans="2:7">
      <c r="B49" s="121" t="s">
        <v>23</v>
      </c>
      <c r="C49" s="125" t="s">
        <v>189</v>
      </c>
      <c r="D49" s="208"/>
      <c r="E49" s="126"/>
    </row>
    <row r="50" spans="2:7">
      <c r="B50" s="103" t="s">
        <v>4</v>
      </c>
      <c r="C50" s="15" t="s">
        <v>40</v>
      </c>
      <c r="D50" s="206">
        <v>10.552944698398999</v>
      </c>
      <c r="E50" s="293">
        <v>11.8437472849636</v>
      </c>
      <c r="G50" s="172"/>
    </row>
    <row r="51" spans="2:7">
      <c r="B51" s="103" t="s">
        <v>6</v>
      </c>
      <c r="C51" s="15" t="s">
        <v>190</v>
      </c>
      <c r="D51" s="294">
        <v>10.552899999999999</v>
      </c>
      <c r="E51" s="295">
        <v>10.1144</v>
      </c>
      <c r="G51" s="172"/>
    </row>
    <row r="52" spans="2:7">
      <c r="B52" s="103" t="s">
        <v>8</v>
      </c>
      <c r="C52" s="15" t="s">
        <v>191</v>
      </c>
      <c r="D52" s="294">
        <v>11.875</v>
      </c>
      <c r="E52" s="295">
        <v>12.358499999999999</v>
      </c>
    </row>
    <row r="53" spans="2:7" ht="13.5" thickBot="1">
      <c r="B53" s="104" t="s">
        <v>9</v>
      </c>
      <c r="C53" s="17" t="s">
        <v>41</v>
      </c>
      <c r="D53" s="210">
        <v>11.8437472849636</v>
      </c>
      <c r="E53" s="234">
        <v>10.238096185586</v>
      </c>
    </row>
    <row r="54" spans="2:7">
      <c r="B54" s="110"/>
      <c r="C54" s="111"/>
      <c r="D54" s="112"/>
      <c r="E54" s="112"/>
    </row>
    <row r="55" spans="2:7" ht="13.5">
      <c r="B55" s="359" t="s">
        <v>62</v>
      </c>
      <c r="C55" s="360"/>
      <c r="D55" s="360"/>
      <c r="E55" s="360"/>
    </row>
    <row r="56" spans="2:7" ht="15.75" customHeight="1" thickBot="1">
      <c r="B56" s="357" t="s">
        <v>192</v>
      </c>
      <c r="C56" s="361"/>
      <c r="D56" s="361"/>
      <c r="E56" s="361"/>
    </row>
    <row r="57" spans="2:7" ht="23.25" thickBot="1">
      <c r="B57" s="352" t="s">
        <v>42</v>
      </c>
      <c r="C57" s="353"/>
      <c r="D57" s="18" t="s">
        <v>205</v>
      </c>
      <c r="E57" s="19" t="s">
        <v>193</v>
      </c>
    </row>
    <row r="58" spans="2:7">
      <c r="B58" s="20" t="s">
        <v>18</v>
      </c>
      <c r="C58" s="127" t="s">
        <v>43</v>
      </c>
      <c r="D58" s="128">
        <f>SUM(D59:D70)</f>
        <v>471668.53</v>
      </c>
      <c r="E58" s="32">
        <f>D58/E21</f>
        <v>0.99746223347984908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298">
        <v>443280.07</v>
      </c>
      <c r="E64" s="82">
        <f>D64/E21</f>
        <v>0.93742766488852636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28388.46</v>
      </c>
      <c r="E69" s="80">
        <f>D69/E21</f>
        <v>6.003456859132271E-2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1912.79</v>
      </c>
      <c r="E72" s="120">
        <f>D72/E21</f>
        <v>4.0450775581273579E-3</v>
      </c>
    </row>
    <row r="73" spans="2:5">
      <c r="B73" s="23" t="s">
        <v>62</v>
      </c>
      <c r="C73" s="24" t="s">
        <v>65</v>
      </c>
      <c r="D73" s="25">
        <f>E17</f>
        <v>712.76</v>
      </c>
      <c r="E73" s="26">
        <f>D73/E21</f>
        <v>1.5073110379763882E-3</v>
      </c>
    </row>
    <row r="74" spans="2:5">
      <c r="B74" s="121" t="s">
        <v>64</v>
      </c>
      <c r="C74" s="122" t="s">
        <v>66</v>
      </c>
      <c r="D74" s="123">
        <f>D58+D71+D72-D73</f>
        <v>472868.56</v>
      </c>
      <c r="E74" s="67">
        <f>E58+E72-E73</f>
        <v>1</v>
      </c>
    </row>
    <row r="75" spans="2:5">
      <c r="B75" s="14" t="s">
        <v>4</v>
      </c>
      <c r="C75" s="15" t="s">
        <v>67</v>
      </c>
      <c r="D75" s="79">
        <f>D74</f>
        <v>472868.56</v>
      </c>
      <c r="E75" s="80">
        <f>E74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238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64398.2</v>
      </c>
      <c r="E11" s="258">
        <f>E12</f>
        <v>44887.59</v>
      </c>
    </row>
    <row r="12" spans="2:5">
      <c r="B12" s="173" t="s">
        <v>4</v>
      </c>
      <c r="C12" s="174" t="s">
        <v>5</v>
      </c>
      <c r="D12" s="261">
        <v>64398.2</v>
      </c>
      <c r="E12" s="262">
        <v>44887.59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64398.2</v>
      </c>
      <c r="E21" s="149">
        <f>E11</f>
        <v>44887.59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121286.87</v>
      </c>
      <c r="E26" s="232">
        <f>D21</f>
        <v>64398.2</v>
      </c>
    </row>
    <row r="27" spans="2:6">
      <c r="B27" s="9" t="s">
        <v>17</v>
      </c>
      <c r="C27" s="10" t="s">
        <v>187</v>
      </c>
      <c r="D27" s="201">
        <v>-51220.579999999994</v>
      </c>
      <c r="E27" s="225">
        <f>E28-E32</f>
        <v>-12600.239999999998</v>
      </c>
      <c r="F27" s="72"/>
    </row>
    <row r="28" spans="2:6">
      <c r="B28" s="9" t="s">
        <v>18</v>
      </c>
      <c r="C28" s="10" t="s">
        <v>19</v>
      </c>
      <c r="D28" s="201">
        <v>58947.82</v>
      </c>
      <c r="E28" s="226">
        <f>E29+E30+E31</f>
        <v>24453.9</v>
      </c>
      <c r="F28" s="72"/>
    </row>
    <row r="29" spans="2:6">
      <c r="B29" s="181" t="s">
        <v>4</v>
      </c>
      <c r="C29" s="174" t="s">
        <v>20</v>
      </c>
      <c r="D29" s="202">
        <v>3895.38</v>
      </c>
      <c r="E29" s="227">
        <v>3726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55052.44</v>
      </c>
      <c r="E31" s="227">
        <v>20727.900000000001</v>
      </c>
      <c r="F31" s="72"/>
    </row>
    <row r="32" spans="2:6">
      <c r="B32" s="93" t="s">
        <v>23</v>
      </c>
      <c r="C32" s="11" t="s">
        <v>24</v>
      </c>
      <c r="D32" s="201">
        <v>110168.4</v>
      </c>
      <c r="E32" s="226">
        <f>E33+E35+E37+E39</f>
        <v>37054.14</v>
      </c>
      <c r="F32" s="72"/>
    </row>
    <row r="33" spans="2:6">
      <c r="B33" s="181" t="s">
        <v>4</v>
      </c>
      <c r="C33" s="174" t="s">
        <v>25</v>
      </c>
      <c r="D33" s="202">
        <v>67889.06</v>
      </c>
      <c r="E33" s="227">
        <v>15732.03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651.94000000000005</v>
      </c>
      <c r="E35" s="227">
        <v>664.23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1265.3900000000001</v>
      </c>
      <c r="E37" s="227">
        <v>754.57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40362.01</v>
      </c>
      <c r="E39" s="228">
        <v>19903.310000000001</v>
      </c>
      <c r="F39" s="72"/>
    </row>
    <row r="40" spans="2:6" ht="13.5" thickBot="1">
      <c r="B40" s="98" t="s">
        <v>35</v>
      </c>
      <c r="C40" s="99" t="s">
        <v>36</v>
      </c>
      <c r="D40" s="204">
        <v>-5668.09</v>
      </c>
      <c r="E40" s="233">
        <v>-6910.37</v>
      </c>
    </row>
    <row r="41" spans="2:6" ht="13.5" thickBot="1">
      <c r="B41" s="100" t="s">
        <v>37</v>
      </c>
      <c r="C41" s="101" t="s">
        <v>38</v>
      </c>
      <c r="D41" s="205">
        <v>64398.200000000012</v>
      </c>
      <c r="E41" s="149">
        <f>E26+E27+E40</f>
        <v>44887.59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19436.999</v>
      </c>
      <c r="E47" s="150">
        <v>10859.73</v>
      </c>
    </row>
    <row r="48" spans="2:6">
      <c r="B48" s="186" t="s">
        <v>6</v>
      </c>
      <c r="C48" s="187" t="s">
        <v>41</v>
      </c>
      <c r="D48" s="207">
        <v>10859.73</v>
      </c>
      <c r="E48" s="150">
        <v>8599.1550000000007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6.24</v>
      </c>
      <c r="E50" s="150">
        <v>5.93</v>
      </c>
    </row>
    <row r="51" spans="2:5">
      <c r="B51" s="184" t="s">
        <v>6</v>
      </c>
      <c r="C51" s="185" t="s">
        <v>190</v>
      </c>
      <c r="D51" s="209">
        <v>5.65</v>
      </c>
      <c r="E51" s="150">
        <v>5.22</v>
      </c>
    </row>
    <row r="52" spans="2:5">
      <c r="B52" s="184" t="s">
        <v>8</v>
      </c>
      <c r="C52" s="185" t="s">
        <v>191</v>
      </c>
      <c r="D52" s="209">
        <v>6.39</v>
      </c>
      <c r="E52" s="150">
        <v>6.1</v>
      </c>
    </row>
    <row r="53" spans="2:5" ht="13.5" customHeight="1" thickBot="1">
      <c r="B53" s="188" t="s">
        <v>9</v>
      </c>
      <c r="C53" s="189" t="s">
        <v>41</v>
      </c>
      <c r="D53" s="210">
        <v>5.93</v>
      </c>
      <c r="E53" s="234">
        <v>5.22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44887.59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44887.59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44887.59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44887.59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239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1659.15</v>
      </c>
      <c r="E11" s="258">
        <f>E12</f>
        <v>79.06</v>
      </c>
    </row>
    <row r="12" spans="2:5">
      <c r="B12" s="173" t="s">
        <v>4</v>
      </c>
      <c r="C12" s="174" t="s">
        <v>5</v>
      </c>
      <c r="D12" s="261">
        <v>1659.15</v>
      </c>
      <c r="E12" s="262">
        <v>79.06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1659.15</v>
      </c>
      <c r="E21" s="149">
        <f>E11</f>
        <v>79.06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1811.58</v>
      </c>
      <c r="E26" s="232">
        <f>D21</f>
        <v>1659.15</v>
      </c>
    </row>
    <row r="27" spans="2:6">
      <c r="B27" s="9" t="s">
        <v>17</v>
      </c>
      <c r="C27" s="10" t="s">
        <v>187</v>
      </c>
      <c r="D27" s="201">
        <v>-2134.2900000000009</v>
      </c>
      <c r="E27" s="225">
        <f>E28-E32</f>
        <v>-1402.43</v>
      </c>
      <c r="F27" s="72"/>
    </row>
    <row r="28" spans="2:6">
      <c r="B28" s="9" t="s">
        <v>18</v>
      </c>
      <c r="C28" s="10" t="s">
        <v>19</v>
      </c>
      <c r="D28" s="201">
        <v>34953.97</v>
      </c>
      <c r="E28" s="226">
        <f>E29+E30+E31</f>
        <v>116.06</v>
      </c>
      <c r="F28" s="72"/>
    </row>
    <row r="29" spans="2:6">
      <c r="B29" s="181" t="s">
        <v>4</v>
      </c>
      <c r="C29" s="174" t="s">
        <v>20</v>
      </c>
      <c r="D29" s="202">
        <v>293.97000000000003</v>
      </c>
      <c r="E29" s="227">
        <v>116.06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34660</v>
      </c>
      <c r="E31" s="227"/>
      <c r="F31" s="72"/>
    </row>
    <row r="32" spans="2:6">
      <c r="B32" s="93" t="s">
        <v>23</v>
      </c>
      <c r="C32" s="11" t="s">
        <v>24</v>
      </c>
      <c r="D32" s="201">
        <v>37088.26</v>
      </c>
      <c r="E32" s="226">
        <f>E33+E35+E37+E39</f>
        <v>1518.49</v>
      </c>
      <c r="F32" s="72"/>
    </row>
    <row r="33" spans="2:6">
      <c r="B33" s="181" t="s">
        <v>4</v>
      </c>
      <c r="C33" s="174" t="s">
        <v>25</v>
      </c>
      <c r="D33" s="202">
        <v>482.43</v>
      </c>
      <c r="E33" s="227">
        <v>1493.42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22.61</v>
      </c>
      <c r="E35" s="227">
        <v>14.7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139.66999999999999</v>
      </c>
      <c r="E37" s="227">
        <v>10.37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36443.550000000003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1981.86</v>
      </c>
      <c r="E40" s="233">
        <v>-177.66</v>
      </c>
    </row>
    <row r="41" spans="2:6" ht="13.5" thickBot="1">
      <c r="B41" s="100" t="s">
        <v>37</v>
      </c>
      <c r="C41" s="101" t="s">
        <v>38</v>
      </c>
      <c r="D41" s="205">
        <v>1659.149999999999</v>
      </c>
      <c r="E41" s="149">
        <f>E26+E27+E40</f>
        <v>79.060000000000031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88.025999999999996</v>
      </c>
      <c r="E47" s="150">
        <v>68.873000000000005</v>
      </c>
    </row>
    <row r="48" spans="2:6">
      <c r="B48" s="186" t="s">
        <v>6</v>
      </c>
      <c r="C48" s="187" t="s">
        <v>41</v>
      </c>
      <c r="D48" s="207">
        <v>68.873000000000005</v>
      </c>
      <c r="E48" s="150">
        <v>3.8530000000000002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20.58</v>
      </c>
      <c r="E50" s="150">
        <v>24.09</v>
      </c>
    </row>
    <row r="51" spans="2:5">
      <c r="B51" s="184" t="s">
        <v>6</v>
      </c>
      <c r="C51" s="185" t="s">
        <v>190</v>
      </c>
      <c r="D51" s="209">
        <v>20.58</v>
      </c>
      <c r="E51" s="150">
        <v>19.89</v>
      </c>
    </row>
    <row r="52" spans="2:5">
      <c r="B52" s="184" t="s">
        <v>8</v>
      </c>
      <c r="C52" s="185" t="s">
        <v>191</v>
      </c>
      <c r="D52" s="209">
        <v>24.82</v>
      </c>
      <c r="E52" s="76">
        <v>25.23</v>
      </c>
    </row>
    <row r="53" spans="2:5" ht="14.25" customHeight="1" thickBot="1">
      <c r="B53" s="188" t="s">
        <v>9</v>
      </c>
      <c r="C53" s="189" t="s">
        <v>41</v>
      </c>
      <c r="D53" s="210">
        <v>24.09</v>
      </c>
      <c r="E53" s="234">
        <v>20.52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79.06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79.06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79.06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79.06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240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1635799.49</v>
      </c>
      <c r="E11" s="258">
        <f>E12</f>
        <v>1288997.19</v>
      </c>
    </row>
    <row r="12" spans="2:5">
      <c r="B12" s="173" t="s">
        <v>4</v>
      </c>
      <c r="C12" s="174" t="s">
        <v>5</v>
      </c>
      <c r="D12" s="261">
        <v>1635799.49</v>
      </c>
      <c r="E12" s="262">
        <v>1288997.19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1635799.49</v>
      </c>
      <c r="E21" s="149">
        <f>E11</f>
        <v>1288997.19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706836.52</v>
      </c>
      <c r="E26" s="232">
        <f>D21</f>
        <v>1635799.49</v>
      </c>
    </row>
    <row r="27" spans="2:6">
      <c r="B27" s="9" t="s">
        <v>17</v>
      </c>
      <c r="C27" s="10" t="s">
        <v>187</v>
      </c>
      <c r="D27" s="201">
        <v>902753.05</v>
      </c>
      <c r="E27" s="225">
        <f>E28-E32</f>
        <v>75837.48000000001</v>
      </c>
      <c r="F27" s="72"/>
    </row>
    <row r="28" spans="2:6">
      <c r="B28" s="9" t="s">
        <v>18</v>
      </c>
      <c r="C28" s="10" t="s">
        <v>19</v>
      </c>
      <c r="D28" s="201">
        <v>1378587.85</v>
      </c>
      <c r="E28" s="226">
        <f>E29+E30+E31</f>
        <v>100015.6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1378587.85</v>
      </c>
      <c r="E31" s="227">
        <v>100015.6</v>
      </c>
      <c r="F31" s="72"/>
    </row>
    <row r="32" spans="2:6">
      <c r="B32" s="93" t="s">
        <v>23</v>
      </c>
      <c r="C32" s="11" t="s">
        <v>24</v>
      </c>
      <c r="D32" s="201">
        <v>475834.80000000005</v>
      </c>
      <c r="E32" s="226">
        <f>E33+E35+E37+E39</f>
        <v>24178.120000000003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5.74</v>
      </c>
      <c r="E35" s="227">
        <v>15.29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22403.279999999999</v>
      </c>
      <c r="E37" s="227">
        <v>24162.83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453425.78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26209.919999999998</v>
      </c>
      <c r="E40" s="233">
        <v>-422639.78</v>
      </c>
    </row>
    <row r="41" spans="2:6" ht="13.5" thickBot="1">
      <c r="B41" s="100" t="s">
        <v>37</v>
      </c>
      <c r="C41" s="101" t="s">
        <v>38</v>
      </c>
      <c r="D41" s="205">
        <v>1635799.49</v>
      </c>
      <c r="E41" s="149">
        <f>E26+E27+E40</f>
        <v>1288997.19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36173.824000000001</v>
      </c>
      <c r="E47" s="150">
        <v>78380.426000000007</v>
      </c>
    </row>
    <row r="48" spans="2:6">
      <c r="B48" s="186" t="s">
        <v>6</v>
      </c>
      <c r="C48" s="187" t="s">
        <v>41</v>
      </c>
      <c r="D48" s="207">
        <v>78380.426000000007</v>
      </c>
      <c r="E48" s="150">
        <v>81737.297999999995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19.54</v>
      </c>
      <c r="E50" s="150">
        <v>20.87</v>
      </c>
    </row>
    <row r="51" spans="2:5">
      <c r="B51" s="184" t="s">
        <v>6</v>
      </c>
      <c r="C51" s="185" t="s">
        <v>190</v>
      </c>
      <c r="D51" s="209">
        <v>19.54</v>
      </c>
      <c r="E51" s="150">
        <v>15.52</v>
      </c>
    </row>
    <row r="52" spans="2:5">
      <c r="B52" s="184" t="s">
        <v>8</v>
      </c>
      <c r="C52" s="185" t="s">
        <v>191</v>
      </c>
      <c r="D52" s="209">
        <v>21.85</v>
      </c>
      <c r="E52" s="76">
        <v>21.65</v>
      </c>
    </row>
    <row r="53" spans="2:5" ht="13.5" customHeight="1" thickBot="1">
      <c r="B53" s="188" t="s">
        <v>9</v>
      </c>
      <c r="C53" s="189" t="s">
        <v>41</v>
      </c>
      <c r="D53" s="210">
        <v>20.87</v>
      </c>
      <c r="E53" s="234">
        <v>15.77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1288997.19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1288997.19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1288997.19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1288997.19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241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9274.66</v>
      </c>
      <c r="E11" s="258">
        <f>E12</f>
        <v>34626.68</v>
      </c>
    </row>
    <row r="12" spans="2:5">
      <c r="B12" s="173" t="s">
        <v>4</v>
      </c>
      <c r="C12" s="174" t="s">
        <v>5</v>
      </c>
      <c r="D12" s="261">
        <v>9274.66</v>
      </c>
      <c r="E12" s="262">
        <f>34713.42-86.74</f>
        <v>34626.68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9274.66</v>
      </c>
      <c r="E21" s="149">
        <f>E11</f>
        <v>34626.68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7502.16</v>
      </c>
      <c r="E26" s="232">
        <f>D21</f>
        <v>9274.66</v>
      </c>
    </row>
    <row r="27" spans="2:6">
      <c r="B27" s="9" t="s">
        <v>17</v>
      </c>
      <c r="C27" s="10" t="s">
        <v>187</v>
      </c>
      <c r="D27" s="201">
        <v>1452.6899999999998</v>
      </c>
      <c r="E27" s="225">
        <f>E28-E32</f>
        <v>24367.31</v>
      </c>
      <c r="F27" s="72"/>
    </row>
    <row r="28" spans="2:6">
      <c r="B28" s="9" t="s">
        <v>18</v>
      </c>
      <c r="C28" s="10" t="s">
        <v>19</v>
      </c>
      <c r="D28" s="201">
        <v>2615.2199999999998</v>
      </c>
      <c r="E28" s="226">
        <f>E29+E30+E31</f>
        <v>32065.45</v>
      </c>
      <c r="F28" s="72"/>
    </row>
    <row r="29" spans="2:6">
      <c r="B29" s="181" t="s">
        <v>4</v>
      </c>
      <c r="C29" s="174" t="s">
        <v>20</v>
      </c>
      <c r="D29" s="202">
        <v>2615.2199999999998</v>
      </c>
      <c r="E29" s="227">
        <v>7633.97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24431.48</v>
      </c>
      <c r="F31" s="72"/>
    </row>
    <row r="32" spans="2:6">
      <c r="B32" s="93" t="s">
        <v>23</v>
      </c>
      <c r="C32" s="11" t="s">
        <v>24</v>
      </c>
      <c r="D32" s="201">
        <v>1162.53</v>
      </c>
      <c r="E32" s="226">
        <f>E33+E35+E37+E39</f>
        <v>7698.1399999999994</v>
      </c>
      <c r="F32" s="72"/>
    </row>
    <row r="33" spans="2:6">
      <c r="B33" s="181" t="s">
        <v>4</v>
      </c>
      <c r="C33" s="174" t="s">
        <v>25</v>
      </c>
      <c r="D33" s="202">
        <v>404.04</v>
      </c>
      <c r="E33" s="227">
        <f>2777.09+86.74</f>
        <v>2863.83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288.24</v>
      </c>
      <c r="E35" s="227">
        <v>295.2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117.87</v>
      </c>
      <c r="E37" s="227">
        <v>370.2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352.38</v>
      </c>
      <c r="E39" s="228">
        <v>4168.91</v>
      </c>
      <c r="F39" s="72"/>
    </row>
    <row r="40" spans="2:6" ht="13.5" thickBot="1">
      <c r="B40" s="98" t="s">
        <v>35</v>
      </c>
      <c r="C40" s="99" t="s">
        <v>36</v>
      </c>
      <c r="D40" s="204">
        <v>319.81</v>
      </c>
      <c r="E40" s="233">
        <v>984.71</v>
      </c>
    </row>
    <row r="41" spans="2:6" ht="13.5" thickBot="1">
      <c r="B41" s="100" t="s">
        <v>37</v>
      </c>
      <c r="C41" s="101" t="s">
        <v>38</v>
      </c>
      <c r="D41" s="205">
        <v>9274.66</v>
      </c>
      <c r="E41" s="149">
        <f>E26+E27+E40</f>
        <v>34626.68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134.73699999999999</v>
      </c>
      <c r="E47" s="150">
        <v>160.37799999999999</v>
      </c>
    </row>
    <row r="48" spans="2:6">
      <c r="B48" s="186" t="s">
        <v>6</v>
      </c>
      <c r="C48" s="187" t="s">
        <v>41</v>
      </c>
      <c r="D48" s="207">
        <v>160.37799999999999</v>
      </c>
      <c r="E48" s="150">
        <v>579.62302999999997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55.68</v>
      </c>
      <c r="E50" s="150">
        <v>57.83</v>
      </c>
    </row>
    <row r="51" spans="2:5">
      <c r="B51" s="184" t="s">
        <v>6</v>
      </c>
      <c r="C51" s="185" t="s">
        <v>190</v>
      </c>
      <c r="D51" s="209">
        <v>55.56</v>
      </c>
      <c r="E51" s="150">
        <v>57.71</v>
      </c>
    </row>
    <row r="52" spans="2:5">
      <c r="B52" s="184" t="s">
        <v>8</v>
      </c>
      <c r="C52" s="185" t="s">
        <v>191</v>
      </c>
      <c r="D52" s="209">
        <v>57.85</v>
      </c>
      <c r="E52" s="76">
        <v>59.77</v>
      </c>
    </row>
    <row r="53" spans="2:5" ht="12.75" customHeight="1" thickBot="1">
      <c r="B53" s="188" t="s">
        <v>9</v>
      </c>
      <c r="C53" s="189" t="s">
        <v>41</v>
      </c>
      <c r="D53" s="210">
        <v>57.83</v>
      </c>
      <c r="E53" s="234">
        <v>59.74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34626.68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34626.68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34626.68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34626.68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242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4175217.15</v>
      </c>
      <c r="E11" s="258">
        <f>E12</f>
        <v>5017536.5999999996</v>
      </c>
    </row>
    <row r="12" spans="2:5">
      <c r="B12" s="173" t="s">
        <v>4</v>
      </c>
      <c r="C12" s="174" t="s">
        <v>5</v>
      </c>
      <c r="D12" s="261">
        <v>4175217.15</v>
      </c>
      <c r="E12" s="262">
        <v>5017536.5999999996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4175217.15</v>
      </c>
      <c r="E21" s="149">
        <f>E11</f>
        <v>5017536.5999999996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5512019.5499999998</v>
      </c>
      <c r="E26" s="232">
        <f>D21</f>
        <v>4175217.15</v>
      </c>
    </row>
    <row r="27" spans="2:6">
      <c r="B27" s="9" t="s">
        <v>17</v>
      </c>
      <c r="C27" s="10" t="s">
        <v>187</v>
      </c>
      <c r="D27" s="201">
        <v>-1452926.6600000001</v>
      </c>
      <c r="E27" s="225">
        <f>E28-E32</f>
        <v>776696.32999999961</v>
      </c>
      <c r="F27" s="72"/>
    </row>
    <row r="28" spans="2:6">
      <c r="B28" s="9" t="s">
        <v>18</v>
      </c>
      <c r="C28" s="10" t="s">
        <v>19</v>
      </c>
      <c r="D28" s="201">
        <v>817730.5</v>
      </c>
      <c r="E28" s="226">
        <f>E29+E30+E31</f>
        <v>2780304.51</v>
      </c>
      <c r="F28" s="72"/>
    </row>
    <row r="29" spans="2:6">
      <c r="B29" s="181" t="s">
        <v>4</v>
      </c>
      <c r="C29" s="174" t="s">
        <v>20</v>
      </c>
      <c r="D29" s="202">
        <v>580159.96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237570.54</v>
      </c>
      <c r="E31" s="227">
        <v>2780304.51</v>
      </c>
      <c r="F31" s="72"/>
    </row>
    <row r="32" spans="2:6">
      <c r="B32" s="93" t="s">
        <v>23</v>
      </c>
      <c r="C32" s="11" t="s">
        <v>24</v>
      </c>
      <c r="D32" s="201">
        <v>2270657.16</v>
      </c>
      <c r="E32" s="226">
        <f>E33+E35+E37+E39</f>
        <v>2003608.1800000002</v>
      </c>
      <c r="F32" s="72"/>
    </row>
    <row r="33" spans="2:6">
      <c r="B33" s="181" t="s">
        <v>4</v>
      </c>
      <c r="C33" s="174" t="s">
        <v>25</v>
      </c>
      <c r="D33" s="202">
        <v>2098359.02</v>
      </c>
      <c r="E33" s="227">
        <v>1889958.37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2982.45</v>
      </c>
      <c r="E35" s="227">
        <v>5526.15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76279.09</v>
      </c>
      <c r="E37" s="227">
        <v>51927.34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93036.6</v>
      </c>
      <c r="E39" s="228">
        <v>56196.32</v>
      </c>
      <c r="F39" s="72"/>
    </row>
    <row r="40" spans="2:6" ht="13.5" thickBot="1">
      <c r="B40" s="98" t="s">
        <v>35</v>
      </c>
      <c r="C40" s="99" t="s">
        <v>36</v>
      </c>
      <c r="D40" s="204">
        <v>116124.26</v>
      </c>
      <c r="E40" s="233">
        <v>65623.12</v>
      </c>
    </row>
    <row r="41" spans="2:6" ht="13.5" thickBot="1">
      <c r="B41" s="100" t="s">
        <v>37</v>
      </c>
      <c r="C41" s="101" t="s">
        <v>38</v>
      </c>
      <c r="D41" s="205">
        <v>4175217.1499999994</v>
      </c>
      <c r="E41" s="149">
        <f>E26+E27+E40</f>
        <v>5017536.5999999996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29359.857</v>
      </c>
      <c r="E47" s="150">
        <v>21699.584999999999</v>
      </c>
    </row>
    <row r="48" spans="2:6">
      <c r="B48" s="186" t="s">
        <v>6</v>
      </c>
      <c r="C48" s="187" t="s">
        <v>41</v>
      </c>
      <c r="D48" s="207">
        <v>21699.584999999999</v>
      </c>
      <c r="E48" s="150">
        <v>25602.289000000001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187.74</v>
      </c>
      <c r="E50" s="150">
        <v>192.41</v>
      </c>
    </row>
    <row r="51" spans="2:5">
      <c r="B51" s="184" t="s">
        <v>6</v>
      </c>
      <c r="C51" s="185" t="s">
        <v>190</v>
      </c>
      <c r="D51" s="209">
        <v>187.68</v>
      </c>
      <c r="E51" s="150">
        <v>192.41</v>
      </c>
    </row>
    <row r="52" spans="2:5">
      <c r="B52" s="184" t="s">
        <v>8</v>
      </c>
      <c r="C52" s="185" t="s">
        <v>191</v>
      </c>
      <c r="D52" s="209">
        <v>192.41</v>
      </c>
      <c r="E52" s="76">
        <v>196.09</v>
      </c>
    </row>
    <row r="53" spans="2:5" ht="12.75" customHeight="1" thickBot="1">
      <c r="B53" s="188" t="s">
        <v>9</v>
      </c>
      <c r="C53" s="189" t="s">
        <v>41</v>
      </c>
      <c r="D53" s="210">
        <v>192.41</v>
      </c>
      <c r="E53" s="234">
        <v>195.98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5017536.5999999996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5017536.5999999996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5017536.5999999996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5017536.5999999996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243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6918174.9500000002</v>
      </c>
      <c r="E11" s="258">
        <f>E12</f>
        <v>5116051.53</v>
      </c>
    </row>
    <row r="12" spans="2:5">
      <c r="B12" s="173" t="s">
        <v>4</v>
      </c>
      <c r="C12" s="174" t="s">
        <v>5</v>
      </c>
      <c r="D12" s="261">
        <v>6918174.9500000002</v>
      </c>
      <c r="E12" s="262">
        <v>5116051.53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6918174.9500000002</v>
      </c>
      <c r="E21" s="149">
        <f>E11</f>
        <v>5116051.53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11855300.560000001</v>
      </c>
      <c r="E26" s="232">
        <f>D21</f>
        <v>6918174.9500000002</v>
      </c>
    </row>
    <row r="27" spans="2:6">
      <c r="B27" s="9" t="s">
        <v>17</v>
      </c>
      <c r="C27" s="10" t="s">
        <v>187</v>
      </c>
      <c r="D27" s="201">
        <v>-5184822.6599999992</v>
      </c>
      <c r="E27" s="225">
        <f>E28-E32</f>
        <v>-1990973.6699999995</v>
      </c>
      <c r="F27" s="72"/>
    </row>
    <row r="28" spans="2:6">
      <c r="B28" s="9" t="s">
        <v>18</v>
      </c>
      <c r="C28" s="10" t="s">
        <v>19</v>
      </c>
      <c r="D28" s="201">
        <v>107669.05</v>
      </c>
      <c r="E28" s="226">
        <f>E29+E30+E31</f>
        <v>3752231.52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107669.05</v>
      </c>
      <c r="E31" s="227">
        <v>3752231.52</v>
      </c>
      <c r="F31" s="72"/>
    </row>
    <row r="32" spans="2:6">
      <c r="B32" s="93" t="s">
        <v>23</v>
      </c>
      <c r="C32" s="11" t="s">
        <v>24</v>
      </c>
      <c r="D32" s="201">
        <v>5292491.709999999</v>
      </c>
      <c r="E32" s="226">
        <f>E33+E35+E37+E39</f>
        <v>5743205.1899999995</v>
      </c>
      <c r="F32" s="72"/>
    </row>
    <row r="33" spans="2:6">
      <c r="B33" s="181" t="s">
        <v>4</v>
      </c>
      <c r="C33" s="174" t="s">
        <v>25</v>
      </c>
      <c r="D33" s="202">
        <v>2456856.84</v>
      </c>
      <c r="E33" s="227">
        <v>5269194.6900000004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44855.28</v>
      </c>
      <c r="E35" s="227">
        <v>23315.599999999999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151054.60999999999</v>
      </c>
      <c r="E37" s="227">
        <v>128447.52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2639724.98</v>
      </c>
      <c r="E39" s="228">
        <v>322247.38</v>
      </c>
      <c r="F39" s="72"/>
    </row>
    <row r="40" spans="2:6" ht="13.5" thickBot="1">
      <c r="B40" s="98" t="s">
        <v>35</v>
      </c>
      <c r="C40" s="99" t="s">
        <v>36</v>
      </c>
      <c r="D40" s="204">
        <v>247697.05</v>
      </c>
      <c r="E40" s="233">
        <v>188850.25</v>
      </c>
    </row>
    <row r="41" spans="2:6" ht="13.5" thickBot="1">
      <c r="B41" s="100" t="s">
        <v>37</v>
      </c>
      <c r="C41" s="101" t="s">
        <v>38</v>
      </c>
      <c r="D41" s="205">
        <v>6918174.9500000011</v>
      </c>
      <c r="E41" s="149">
        <f>E26+E27+E40</f>
        <v>5116051.5300000012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1107972.0149999999</v>
      </c>
      <c r="E47" s="150">
        <v>629497.26599999995</v>
      </c>
    </row>
    <row r="48" spans="2:6">
      <c r="B48" s="186" t="s">
        <v>6</v>
      </c>
      <c r="C48" s="187" t="s">
        <v>41</v>
      </c>
      <c r="D48" s="207">
        <v>629497.26599999995</v>
      </c>
      <c r="E48" s="150">
        <v>454356.26400000002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10.7</v>
      </c>
      <c r="E50" s="150">
        <v>10.99</v>
      </c>
    </row>
    <row r="51" spans="2:5">
      <c r="B51" s="184" t="s">
        <v>6</v>
      </c>
      <c r="C51" s="185" t="s">
        <v>190</v>
      </c>
      <c r="D51" s="209">
        <v>10.69</v>
      </c>
      <c r="E51" s="150">
        <v>10.99</v>
      </c>
    </row>
    <row r="52" spans="2:5">
      <c r="B52" s="184" t="s">
        <v>8</v>
      </c>
      <c r="C52" s="185" t="s">
        <v>191</v>
      </c>
      <c r="D52" s="209">
        <v>10.99</v>
      </c>
      <c r="E52" s="76">
        <v>11.27</v>
      </c>
    </row>
    <row r="53" spans="2:5" ht="12.75" customHeight="1" thickBot="1">
      <c r="B53" s="188" t="s">
        <v>9</v>
      </c>
      <c r="C53" s="189" t="s">
        <v>41</v>
      </c>
      <c r="D53" s="210">
        <v>10.99</v>
      </c>
      <c r="E53" s="234">
        <v>11.26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5116051.53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5116051.53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5116051.53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5116051.53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244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218290.53</v>
      </c>
      <c r="E11" s="258">
        <f>E12</f>
        <v>203932.92</v>
      </c>
    </row>
    <row r="12" spans="2:5">
      <c r="B12" s="173" t="s">
        <v>4</v>
      </c>
      <c r="C12" s="174" t="s">
        <v>5</v>
      </c>
      <c r="D12" s="261">
        <v>218290.53</v>
      </c>
      <c r="E12" s="262">
        <v>203932.92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218290.53</v>
      </c>
      <c r="E21" s="149">
        <f>E11</f>
        <v>203932.92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207633.79</v>
      </c>
      <c r="E26" s="232">
        <f>D21</f>
        <v>218290.53</v>
      </c>
    </row>
    <row r="27" spans="2:6">
      <c r="B27" s="9" t="s">
        <v>17</v>
      </c>
      <c r="C27" s="10" t="s">
        <v>187</v>
      </c>
      <c r="D27" s="201">
        <v>-3256.88</v>
      </c>
      <c r="E27" s="225">
        <f>E28-E32</f>
        <v>-3354.66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3256.88</v>
      </c>
      <c r="E32" s="226">
        <f>E33+E35+E37+E39</f>
        <v>3354.66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3256.88</v>
      </c>
      <c r="E37" s="227">
        <v>3354.66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13913.62</v>
      </c>
      <c r="E40" s="233">
        <v>-11002.95</v>
      </c>
    </row>
    <row r="41" spans="2:6" ht="13.5" thickBot="1">
      <c r="B41" s="100" t="s">
        <v>37</v>
      </c>
      <c r="C41" s="101" t="s">
        <v>38</v>
      </c>
      <c r="D41" s="205">
        <v>218290.53</v>
      </c>
      <c r="E41" s="149">
        <f>E26+E27+E40</f>
        <v>203932.91999999998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18118.132000000001</v>
      </c>
      <c r="E47" s="338">
        <v>17848.776000000002</v>
      </c>
    </row>
    <row r="48" spans="2:6">
      <c r="B48" s="186" t="s">
        <v>6</v>
      </c>
      <c r="C48" s="187" t="s">
        <v>41</v>
      </c>
      <c r="D48" s="207">
        <v>17848.776000000002</v>
      </c>
      <c r="E48" s="150">
        <v>17565.281999999999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11.46</v>
      </c>
      <c r="E50" s="76">
        <v>12.23</v>
      </c>
    </row>
    <row r="51" spans="2:5">
      <c r="B51" s="184" t="s">
        <v>6</v>
      </c>
      <c r="C51" s="185" t="s">
        <v>190</v>
      </c>
      <c r="D51" s="209">
        <v>11.45</v>
      </c>
      <c r="E51" s="76">
        <v>11.31</v>
      </c>
    </row>
    <row r="52" spans="2:5">
      <c r="B52" s="184" t="s">
        <v>8</v>
      </c>
      <c r="C52" s="185" t="s">
        <v>191</v>
      </c>
      <c r="D52" s="209">
        <v>12.35</v>
      </c>
      <c r="E52" s="76">
        <v>12.4</v>
      </c>
    </row>
    <row r="53" spans="2:5" ht="14.25" customHeight="1" thickBot="1">
      <c r="B53" s="188" t="s">
        <v>9</v>
      </c>
      <c r="C53" s="189" t="s">
        <v>41</v>
      </c>
      <c r="D53" s="210">
        <v>12.23</v>
      </c>
      <c r="E53" s="234">
        <v>11.61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203932.92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203932.92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203932.92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203932.92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245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493751.96</v>
      </c>
      <c r="E11" s="258">
        <f>E12</f>
        <v>365492.24</v>
      </c>
    </row>
    <row r="12" spans="2:5">
      <c r="B12" s="173" t="s">
        <v>4</v>
      </c>
      <c r="C12" s="174" t="s">
        <v>5</v>
      </c>
      <c r="D12" s="261">
        <v>493751.96</v>
      </c>
      <c r="E12" s="262">
        <v>365492.24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493751.96</v>
      </c>
      <c r="E21" s="149">
        <f>E11</f>
        <v>365492.24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649190.99</v>
      </c>
      <c r="E26" s="232">
        <f>D21</f>
        <v>493751.96</v>
      </c>
    </row>
    <row r="27" spans="2:6">
      <c r="B27" s="9" t="s">
        <v>17</v>
      </c>
      <c r="C27" s="10" t="s">
        <v>187</v>
      </c>
      <c r="D27" s="201">
        <v>-174395.86</v>
      </c>
      <c r="E27" s="225">
        <f>E28-E32</f>
        <v>-140989.1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39647.379999999997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39647.379999999997</v>
      </c>
      <c r="F31" s="72"/>
    </row>
    <row r="32" spans="2:6">
      <c r="B32" s="93" t="s">
        <v>23</v>
      </c>
      <c r="C32" s="11" t="s">
        <v>24</v>
      </c>
      <c r="D32" s="201">
        <v>174395.86</v>
      </c>
      <c r="E32" s="226">
        <f>E33+E35+E37+E39</f>
        <v>180636.48</v>
      </c>
      <c r="F32" s="72"/>
    </row>
    <row r="33" spans="2:6">
      <c r="B33" s="181" t="s">
        <v>4</v>
      </c>
      <c r="C33" s="174" t="s">
        <v>25</v>
      </c>
      <c r="D33" s="202">
        <v>148622.72</v>
      </c>
      <c r="E33" s="227">
        <v>172252.07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2879.77</v>
      </c>
      <c r="E35" s="227">
        <v>2523.19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8646.77</v>
      </c>
      <c r="E37" s="227">
        <v>5861.22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14246.6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18956.830000000002</v>
      </c>
      <c r="E40" s="233">
        <v>12729.38</v>
      </c>
    </row>
    <row r="41" spans="2:6" ht="13.5" thickBot="1">
      <c r="B41" s="100" t="s">
        <v>37</v>
      </c>
      <c r="C41" s="101" t="s">
        <v>38</v>
      </c>
      <c r="D41" s="205">
        <v>493751.96</v>
      </c>
      <c r="E41" s="149">
        <f>E26+E27+E40</f>
        <v>365492.24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55486.409</v>
      </c>
      <c r="E47" s="150">
        <v>40805.947</v>
      </c>
    </row>
    <row r="48" spans="2:6">
      <c r="B48" s="186" t="s">
        <v>6</v>
      </c>
      <c r="C48" s="187" t="s">
        <v>41</v>
      </c>
      <c r="D48" s="207">
        <v>40805.947</v>
      </c>
      <c r="E48" s="150">
        <v>29192.670999999998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11.7</v>
      </c>
      <c r="E50" s="150">
        <v>12.1</v>
      </c>
    </row>
    <row r="51" spans="2:5">
      <c r="B51" s="184" t="s">
        <v>6</v>
      </c>
      <c r="C51" s="185" t="s">
        <v>190</v>
      </c>
      <c r="D51" s="209">
        <v>11.67</v>
      </c>
      <c r="E51" s="150">
        <v>12.07</v>
      </c>
    </row>
    <row r="52" spans="2:5">
      <c r="B52" s="184" t="s">
        <v>8</v>
      </c>
      <c r="C52" s="185" t="s">
        <v>191</v>
      </c>
      <c r="D52" s="209">
        <v>12.11</v>
      </c>
      <c r="E52" s="76">
        <v>12.52</v>
      </c>
    </row>
    <row r="53" spans="2:5" ht="13.5" customHeight="1" thickBot="1">
      <c r="B53" s="188" t="s">
        <v>9</v>
      </c>
      <c r="C53" s="189" t="s">
        <v>41</v>
      </c>
      <c r="D53" s="210">
        <v>12.1</v>
      </c>
      <c r="E53" s="234">
        <v>12.52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365492.24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365492.24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365492.24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365492.24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246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1189.1300000000001</v>
      </c>
      <c r="E11" s="258">
        <f>E12</f>
        <v>994.75</v>
      </c>
    </row>
    <row r="12" spans="2:5">
      <c r="B12" s="173" t="s">
        <v>4</v>
      </c>
      <c r="C12" s="174" t="s">
        <v>5</v>
      </c>
      <c r="D12" s="261">
        <v>1189.1300000000001</v>
      </c>
      <c r="E12" s="262">
        <v>994.75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1189.1300000000001</v>
      </c>
      <c r="E21" s="149">
        <f>E11</f>
        <v>994.75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983.32</v>
      </c>
      <c r="E26" s="232">
        <f>D21</f>
        <v>1189.1300000000001</v>
      </c>
    </row>
    <row r="27" spans="2:6">
      <c r="B27" s="9" t="s">
        <v>17</v>
      </c>
      <c r="C27" s="10" t="s">
        <v>187</v>
      </c>
      <c r="D27" s="201">
        <v>0</v>
      </c>
      <c r="E27" s="225">
        <f>E28-E32</f>
        <v>0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0</v>
      </c>
      <c r="E32" s="226">
        <f>E33+E35+E37+E39</f>
        <v>0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205.81</v>
      </c>
      <c r="E40" s="233">
        <v>-194.38</v>
      </c>
    </row>
    <row r="41" spans="2:6" ht="13.5" thickBot="1">
      <c r="B41" s="100" t="s">
        <v>37</v>
      </c>
      <c r="C41" s="101" t="s">
        <v>38</v>
      </c>
      <c r="D41" s="205">
        <v>1189.1300000000001</v>
      </c>
      <c r="E41" s="149">
        <f>E26+E27+E40</f>
        <v>994.75000000000011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103.94499999999999</v>
      </c>
      <c r="E47" s="150">
        <v>103.94499999999999</v>
      </c>
    </row>
    <row r="48" spans="2:6">
      <c r="B48" s="186" t="s">
        <v>6</v>
      </c>
      <c r="C48" s="187" t="s">
        <v>41</v>
      </c>
      <c r="D48" s="207">
        <v>103.94499999999999</v>
      </c>
      <c r="E48" s="150">
        <v>103.94499999999999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9.4600000000000009</v>
      </c>
      <c r="E50" s="150">
        <v>11.44</v>
      </c>
    </row>
    <row r="51" spans="2:5">
      <c r="B51" s="184" t="s">
        <v>6</v>
      </c>
      <c r="C51" s="185" t="s">
        <v>190</v>
      </c>
      <c r="D51" s="209">
        <v>9.4600000000000009</v>
      </c>
      <c r="E51" s="150">
        <v>9.25</v>
      </c>
    </row>
    <row r="52" spans="2:5">
      <c r="B52" s="184" t="s">
        <v>8</v>
      </c>
      <c r="C52" s="185" t="s">
        <v>191</v>
      </c>
      <c r="D52" s="209">
        <v>11.68</v>
      </c>
      <c r="E52" s="76">
        <v>11.92</v>
      </c>
    </row>
    <row r="53" spans="2:5" ht="12.75" customHeight="1" thickBot="1">
      <c r="B53" s="188" t="s">
        <v>9</v>
      </c>
      <c r="C53" s="189" t="s">
        <v>41</v>
      </c>
      <c r="D53" s="210">
        <v>11.44</v>
      </c>
      <c r="E53" s="234">
        <v>9.57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994.75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994.75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994.75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994.75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247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8.5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8.5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8.5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41653.760000000002</v>
      </c>
      <c r="E26" s="232">
        <f>D21</f>
        <v>8.5</v>
      </c>
    </row>
    <row r="27" spans="2:6">
      <c r="B27" s="9" t="s">
        <v>17</v>
      </c>
      <c r="C27" s="10" t="s">
        <v>187</v>
      </c>
      <c r="D27" s="201">
        <v>-41768.97</v>
      </c>
      <c r="E27" s="225">
        <f>E28-E32</f>
        <v>-8.36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41768.97</v>
      </c>
      <c r="E32" s="226">
        <f>E33+E35+E37+E39</f>
        <v>8.36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21.25</v>
      </c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121.41</v>
      </c>
      <c r="E37" s="227">
        <v>8.36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41626.31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123.71</v>
      </c>
      <c r="E40" s="233">
        <v>-0.14000000000000001</v>
      </c>
    </row>
    <row r="41" spans="2:6" ht="13.5" thickBot="1">
      <c r="B41" s="100" t="s">
        <v>37</v>
      </c>
      <c r="C41" s="101" t="s">
        <v>38</v>
      </c>
      <c r="D41" s="205">
        <v>8.5000000000008669</v>
      </c>
      <c r="E41" s="149">
        <v>0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359.95299999999997</v>
      </c>
      <c r="E47" s="150">
        <v>7.6999999999999999E-2</v>
      </c>
    </row>
    <row r="48" spans="2:6">
      <c r="B48" s="186" t="s">
        <v>6</v>
      </c>
      <c r="C48" s="187" t="s">
        <v>41</v>
      </c>
      <c r="D48" s="207">
        <v>7.6999999999999999E-2</v>
      </c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115.72</v>
      </c>
      <c r="E50" s="150">
        <v>110.33</v>
      </c>
    </row>
    <row r="51" spans="2:5">
      <c r="B51" s="184" t="s">
        <v>6</v>
      </c>
      <c r="C51" s="185" t="s">
        <v>190</v>
      </c>
      <c r="D51" s="209">
        <v>103.62</v>
      </c>
      <c r="E51" s="76">
        <v>103.89</v>
      </c>
    </row>
    <row r="52" spans="2:5">
      <c r="B52" s="184" t="s">
        <v>8</v>
      </c>
      <c r="C52" s="185" t="s">
        <v>191</v>
      </c>
      <c r="D52" s="209">
        <v>120.05</v>
      </c>
      <c r="E52" s="76">
        <v>115.21</v>
      </c>
    </row>
    <row r="53" spans="2:5" ht="13.5" customHeight="1" thickBot="1">
      <c r="B53" s="188" t="s">
        <v>9</v>
      </c>
      <c r="C53" s="189" t="s">
        <v>41</v>
      </c>
      <c r="D53" s="210">
        <v>110.33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6"/>
      <c r="C4" s="86"/>
      <c r="D4" s="86"/>
      <c r="E4" s="86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106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7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707284.82</v>
      </c>
      <c r="E11" s="258">
        <f>E12+E13+E14</f>
        <v>972887.63</v>
      </c>
    </row>
    <row r="12" spans="2:7">
      <c r="B12" s="107" t="s">
        <v>4</v>
      </c>
      <c r="C12" s="6" t="s">
        <v>5</v>
      </c>
      <c r="D12" s="261">
        <v>705844.2699999999</v>
      </c>
      <c r="E12" s="262">
        <f>970443.63-486.73</f>
        <v>969956.9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>
        <v>1440.55</v>
      </c>
      <c r="E14" s="262">
        <f>E15</f>
        <v>2930.73</v>
      </c>
    </row>
    <row r="15" spans="2:7">
      <c r="B15" s="107" t="s">
        <v>182</v>
      </c>
      <c r="C15" s="69" t="s">
        <v>11</v>
      </c>
      <c r="D15" s="261">
        <v>1440.55</v>
      </c>
      <c r="E15" s="262">
        <v>2930.73</v>
      </c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546.63</v>
      </c>
      <c r="E17" s="266">
        <f>SUM(E18:E19)</f>
        <v>709.75</v>
      </c>
    </row>
    <row r="18" spans="2:6">
      <c r="B18" s="107" t="s">
        <v>4</v>
      </c>
      <c r="C18" s="6" t="s">
        <v>11</v>
      </c>
      <c r="D18" s="261">
        <v>546.63</v>
      </c>
      <c r="E18" s="306">
        <v>709.75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706738.19</v>
      </c>
      <c r="E21" s="149">
        <f>E11-E17</f>
        <v>972177.88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8" customHeight="1" thickBot="1">
      <c r="B24" s="357" t="s">
        <v>181</v>
      </c>
      <c r="C24" s="367"/>
      <c r="D24" s="367"/>
      <c r="E24" s="367"/>
    </row>
    <row r="25" spans="2:6" ht="13.5" thickBot="1">
      <c r="B25" s="87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442386.37</v>
      </c>
      <c r="E26" s="232">
        <f>D21</f>
        <v>706738.19</v>
      </c>
    </row>
    <row r="27" spans="2:6">
      <c r="B27" s="9" t="s">
        <v>17</v>
      </c>
      <c r="C27" s="10" t="s">
        <v>187</v>
      </c>
      <c r="D27" s="201">
        <v>246459.90999999997</v>
      </c>
      <c r="E27" s="225">
        <f>E28-E32</f>
        <v>299228.01</v>
      </c>
      <c r="F27" s="72"/>
    </row>
    <row r="28" spans="2:6">
      <c r="B28" s="9" t="s">
        <v>18</v>
      </c>
      <c r="C28" s="10" t="s">
        <v>19</v>
      </c>
      <c r="D28" s="201">
        <v>421942.48</v>
      </c>
      <c r="E28" s="226">
        <v>487867.01</v>
      </c>
      <c r="F28" s="72"/>
    </row>
    <row r="29" spans="2:6">
      <c r="B29" s="105" t="s">
        <v>4</v>
      </c>
      <c r="C29" s="6" t="s">
        <v>20</v>
      </c>
      <c r="D29" s="202">
        <v>353870.67</v>
      </c>
      <c r="E29" s="227">
        <v>484153.24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68071.81</v>
      </c>
      <c r="E31" s="227">
        <v>3713.77</v>
      </c>
      <c r="F31" s="72"/>
    </row>
    <row r="32" spans="2:6">
      <c r="B32" s="93" t="s">
        <v>23</v>
      </c>
      <c r="C32" s="11" t="s">
        <v>24</v>
      </c>
      <c r="D32" s="201">
        <v>175482.57</v>
      </c>
      <c r="E32" s="226">
        <f>E33+E35+E39</f>
        <v>188639</v>
      </c>
      <c r="F32" s="72"/>
    </row>
    <row r="33" spans="2:6">
      <c r="B33" s="105" t="s">
        <v>4</v>
      </c>
      <c r="C33" s="6" t="s">
        <v>25</v>
      </c>
      <c r="D33" s="202">
        <v>86012.76</v>
      </c>
      <c r="E33" s="227">
        <v>123139.78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18843.71</v>
      </c>
      <c r="E35" s="227">
        <v>23249.68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70626.100000000006</v>
      </c>
      <c r="E39" s="228">
        <v>42249.54</v>
      </c>
      <c r="F39" s="72"/>
    </row>
    <row r="40" spans="2:6" ht="13.5" thickBot="1">
      <c r="B40" s="98" t="s">
        <v>35</v>
      </c>
      <c r="C40" s="99" t="s">
        <v>36</v>
      </c>
      <c r="D40" s="204">
        <v>17891.91</v>
      </c>
      <c r="E40" s="233">
        <v>-33788.32</v>
      </c>
    </row>
    <row r="41" spans="2:6" ht="13.5" thickBot="1">
      <c r="B41" s="100" t="s">
        <v>37</v>
      </c>
      <c r="C41" s="101" t="s">
        <v>38</v>
      </c>
      <c r="D41" s="205">
        <v>706738.19000000006</v>
      </c>
      <c r="E41" s="149">
        <f>E26+E27+E40</f>
        <v>972177.88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5.7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44020.316299999999</v>
      </c>
      <c r="E47" s="74">
        <v>68120.478900000002</v>
      </c>
    </row>
    <row r="48" spans="2:6">
      <c r="B48" s="124" t="s">
        <v>6</v>
      </c>
      <c r="C48" s="22" t="s">
        <v>41</v>
      </c>
      <c r="D48" s="207">
        <v>68120.478900000002</v>
      </c>
      <c r="E48" s="302">
        <v>97575.417050000004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10.049595366232699</v>
      </c>
      <c r="E50" s="74">
        <v>10.374827080678999</v>
      </c>
    </row>
    <row r="51" spans="2:5">
      <c r="B51" s="103" t="s">
        <v>6</v>
      </c>
      <c r="C51" s="15" t="s">
        <v>190</v>
      </c>
      <c r="D51" s="294">
        <v>10.0487</v>
      </c>
      <c r="E51" s="76">
        <v>9.9580000000000002</v>
      </c>
    </row>
    <row r="52" spans="2:5" ht="12" customHeight="1">
      <c r="B52" s="103" t="s">
        <v>8</v>
      </c>
      <c r="C52" s="15" t="s">
        <v>191</v>
      </c>
      <c r="D52" s="206">
        <v>10.391999999999999</v>
      </c>
      <c r="E52" s="76">
        <v>10.4094</v>
      </c>
    </row>
    <row r="53" spans="2:5" ht="13.5" thickBot="1">
      <c r="B53" s="104" t="s">
        <v>9</v>
      </c>
      <c r="C53" s="17" t="s">
        <v>41</v>
      </c>
      <c r="D53" s="210">
        <v>10.374827080678999</v>
      </c>
      <c r="E53" s="234">
        <v>9.9633484477478191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969956.9</v>
      </c>
      <c r="E58" s="32">
        <f>D58/E21</f>
        <v>0.99771545923262528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922778.02-486.73</f>
        <v>922291.29</v>
      </c>
      <c r="E64" s="82">
        <f>D64/E21</f>
        <v>0.94868573845765758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47665.61</v>
      </c>
      <c r="E69" s="80">
        <f>D69/E21</f>
        <v>4.9029720774967644E-2</v>
      </c>
    </row>
    <row r="70" spans="2:5">
      <c r="B70" s="113" t="s">
        <v>58</v>
      </c>
      <c r="C70" s="114" t="s">
        <v>59</v>
      </c>
      <c r="D70" s="311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2930.73</v>
      </c>
      <c r="E72" s="120">
        <f>D72/E21</f>
        <v>3.0146026362994393E-3</v>
      </c>
    </row>
    <row r="73" spans="2:5">
      <c r="B73" s="23" t="s">
        <v>62</v>
      </c>
      <c r="C73" s="24" t="s">
        <v>65</v>
      </c>
      <c r="D73" s="25">
        <f>E17</f>
        <v>709.75</v>
      </c>
      <c r="E73" s="26">
        <f>D73/E21</f>
        <v>7.3006186892464573E-4</v>
      </c>
    </row>
    <row r="74" spans="2:5">
      <c r="B74" s="121" t="s">
        <v>64</v>
      </c>
      <c r="C74" s="122" t="s">
        <v>66</v>
      </c>
      <c r="D74" s="123">
        <f>D58+D71+D72-D73</f>
        <v>972177.88</v>
      </c>
      <c r="E74" s="67">
        <f>E58+E72-E73</f>
        <v>1.0000000000000002</v>
      </c>
    </row>
    <row r="75" spans="2:5">
      <c r="B75" s="14" t="s">
        <v>4</v>
      </c>
      <c r="C75" s="15" t="s">
        <v>67</v>
      </c>
      <c r="D75" s="79">
        <f>D74</f>
        <v>972177.88</v>
      </c>
      <c r="E75" s="80">
        <f>E74</f>
        <v>1.0000000000000002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19"/>
      <c r="E78" s="219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248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46258.73</v>
      </c>
      <c r="E11" s="258">
        <f>E12</f>
        <v>203163.85</v>
      </c>
    </row>
    <row r="12" spans="2:5">
      <c r="B12" s="173" t="s">
        <v>4</v>
      </c>
      <c r="C12" s="174" t="s">
        <v>5</v>
      </c>
      <c r="D12" s="261">
        <v>46258.73</v>
      </c>
      <c r="E12" s="262">
        <v>203163.85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46258.73</v>
      </c>
      <c r="E21" s="149">
        <f>E11</f>
        <v>203163.85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235662.23</v>
      </c>
      <c r="E26" s="232">
        <f>D21</f>
        <v>46258.73</v>
      </c>
    </row>
    <row r="27" spans="2:6">
      <c r="B27" s="9" t="s">
        <v>17</v>
      </c>
      <c r="C27" s="10" t="s">
        <v>187</v>
      </c>
      <c r="D27" s="201">
        <v>-189650.35</v>
      </c>
      <c r="E27" s="225">
        <f>E28-E32</f>
        <v>196534.13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200031.24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200031.24</v>
      </c>
      <c r="F31" s="72"/>
    </row>
    <row r="32" spans="2:6">
      <c r="B32" s="93" t="s">
        <v>23</v>
      </c>
      <c r="C32" s="11" t="s">
        <v>24</v>
      </c>
      <c r="D32" s="201">
        <v>189650.35</v>
      </c>
      <c r="E32" s="226">
        <f>E33+E35+E37+E39</f>
        <v>3497.11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177.5</v>
      </c>
      <c r="E35" s="227">
        <v>178.02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2692.6</v>
      </c>
      <c r="E37" s="227">
        <v>3319.09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186780.25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246.85</v>
      </c>
      <c r="E40" s="233">
        <v>-39629.01</v>
      </c>
    </row>
    <row r="41" spans="2:6" ht="13.5" thickBot="1">
      <c r="B41" s="100" t="s">
        <v>37</v>
      </c>
      <c r="C41" s="101" t="s">
        <v>38</v>
      </c>
      <c r="D41" s="205">
        <v>46258.73</v>
      </c>
      <c r="E41" s="149">
        <f>E26+E27+E40</f>
        <v>203163.85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4701.0219999999999</v>
      </c>
      <c r="E47" s="150">
        <v>918.92600000000004</v>
      </c>
    </row>
    <row r="48" spans="2:6">
      <c r="B48" s="186" t="s">
        <v>6</v>
      </c>
      <c r="C48" s="187" t="s">
        <v>41</v>
      </c>
      <c r="D48" s="207">
        <v>918.92600000000004</v>
      </c>
      <c r="E48" s="150">
        <v>4741.28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50.13</v>
      </c>
      <c r="E50" s="150">
        <v>50.34</v>
      </c>
    </row>
    <row r="51" spans="2:5">
      <c r="B51" s="184" t="s">
        <v>6</v>
      </c>
      <c r="C51" s="185" t="s">
        <v>190</v>
      </c>
      <c r="D51" s="209">
        <v>48.21</v>
      </c>
      <c r="E51" s="150">
        <v>42.19</v>
      </c>
    </row>
    <row r="52" spans="2:5">
      <c r="B52" s="184" t="s">
        <v>8</v>
      </c>
      <c r="C52" s="185" t="s">
        <v>191</v>
      </c>
      <c r="D52" s="209">
        <v>52.57</v>
      </c>
      <c r="E52" s="76">
        <v>53.25</v>
      </c>
    </row>
    <row r="53" spans="2:5" ht="13.5" customHeight="1" thickBot="1">
      <c r="B53" s="188" t="s">
        <v>9</v>
      </c>
      <c r="C53" s="189" t="s">
        <v>41</v>
      </c>
      <c r="D53" s="210">
        <v>50.34</v>
      </c>
      <c r="E53" s="234">
        <v>42.85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203163.85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203163.85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203163.85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203163.85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249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239155.88</v>
      </c>
      <c r="E11" s="258">
        <f>E12</f>
        <v>342366.49</v>
      </c>
    </row>
    <row r="12" spans="2:5">
      <c r="B12" s="173" t="s">
        <v>4</v>
      </c>
      <c r="C12" s="174" t="s">
        <v>5</v>
      </c>
      <c r="D12" s="261">
        <v>239155.88</v>
      </c>
      <c r="E12" s="262">
        <v>342366.49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239155.88</v>
      </c>
      <c r="E21" s="149">
        <f>E11</f>
        <v>342366.49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227802.52</v>
      </c>
      <c r="E26" s="232">
        <f>D21</f>
        <v>239155.88</v>
      </c>
    </row>
    <row r="27" spans="2:6">
      <c r="B27" s="9" t="s">
        <v>17</v>
      </c>
      <c r="C27" s="10" t="s">
        <v>187</v>
      </c>
      <c r="D27" s="201">
        <v>-25544.049999999814</v>
      </c>
      <c r="E27" s="225">
        <f>E28-E32</f>
        <v>128218.31000000001</v>
      </c>
      <c r="F27" s="72"/>
    </row>
    <row r="28" spans="2:6">
      <c r="B28" s="9" t="s">
        <v>18</v>
      </c>
      <c r="C28" s="10" t="s">
        <v>19</v>
      </c>
      <c r="D28" s="201">
        <v>1237794.1100000001</v>
      </c>
      <c r="E28" s="226">
        <f>E29+E30+E31</f>
        <v>200031.23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1237794.1100000001</v>
      </c>
      <c r="E31" s="227">
        <v>200031.23</v>
      </c>
      <c r="F31" s="72"/>
    </row>
    <row r="32" spans="2:6">
      <c r="B32" s="93" t="s">
        <v>23</v>
      </c>
      <c r="C32" s="11" t="s">
        <v>24</v>
      </c>
      <c r="D32" s="201">
        <v>1263338.1599999999</v>
      </c>
      <c r="E32" s="226">
        <f>E33+E35+E37+E39</f>
        <v>71812.92</v>
      </c>
      <c r="F32" s="72"/>
    </row>
    <row r="33" spans="2:6">
      <c r="B33" s="181" t="s">
        <v>4</v>
      </c>
      <c r="C33" s="174" t="s">
        <v>25</v>
      </c>
      <c r="D33" s="202">
        <v>49503.02</v>
      </c>
      <c r="E33" s="227">
        <v>65218.86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1015.68</v>
      </c>
      <c r="E35" s="227">
        <v>872.14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7344.45</v>
      </c>
      <c r="E37" s="227">
        <v>5721.92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1205475.01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36897.410000000003</v>
      </c>
      <c r="E40" s="233">
        <v>-25007.7</v>
      </c>
    </row>
    <row r="41" spans="2:6" ht="13.5" thickBot="1">
      <c r="B41" s="100" t="s">
        <v>37</v>
      </c>
      <c r="C41" s="101" t="s">
        <v>38</v>
      </c>
      <c r="D41" s="205">
        <v>239155.88000000018</v>
      </c>
      <c r="E41" s="149">
        <f>E26+E27+E40</f>
        <v>342366.49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12421.075000000001</v>
      </c>
      <c r="E47" s="150">
        <v>12183.183000000001</v>
      </c>
    </row>
    <row r="48" spans="2:6">
      <c r="B48" s="186" t="s">
        <v>6</v>
      </c>
      <c r="C48" s="187" t="s">
        <v>41</v>
      </c>
      <c r="D48" s="207">
        <v>12183.183000000001</v>
      </c>
      <c r="E48" s="150">
        <v>18506.296999999999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18.34</v>
      </c>
      <c r="E50" s="150">
        <v>19.63</v>
      </c>
    </row>
    <row r="51" spans="2:5">
      <c r="B51" s="184" t="s">
        <v>6</v>
      </c>
      <c r="C51" s="185" t="s">
        <v>190</v>
      </c>
      <c r="D51" s="209">
        <v>18.34</v>
      </c>
      <c r="E51" s="76">
        <v>18.399999999999999</v>
      </c>
    </row>
    <row r="52" spans="2:5">
      <c r="B52" s="184" t="s">
        <v>8</v>
      </c>
      <c r="C52" s="185" t="s">
        <v>191</v>
      </c>
      <c r="D52" s="209">
        <v>19.68</v>
      </c>
      <c r="E52" s="76">
        <v>20.059999999999999</v>
      </c>
    </row>
    <row r="53" spans="2:5" ht="12.75" customHeight="1" thickBot="1">
      <c r="B53" s="188" t="s">
        <v>9</v>
      </c>
      <c r="C53" s="189" t="s">
        <v>41</v>
      </c>
      <c r="D53" s="210">
        <v>19.63</v>
      </c>
      <c r="E53" s="234">
        <v>18.5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342366.49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342366.49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342366.49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342366.49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250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1524917.53</v>
      </c>
      <c r="E11" s="258">
        <f>E12</f>
        <v>1390286.91</v>
      </c>
    </row>
    <row r="12" spans="2:5">
      <c r="B12" s="173" t="s">
        <v>4</v>
      </c>
      <c r="C12" s="174" t="s">
        <v>5</v>
      </c>
      <c r="D12" s="261">
        <v>1524917.53</v>
      </c>
      <c r="E12" s="262">
        <v>1390286.91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1524917.53</v>
      </c>
      <c r="E21" s="149">
        <f>E11</f>
        <v>1390286.91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54466.05</v>
      </c>
      <c r="E26" s="232">
        <f>D21</f>
        <v>1524917.53</v>
      </c>
    </row>
    <row r="27" spans="2:6">
      <c r="B27" s="9" t="s">
        <v>17</v>
      </c>
      <c r="C27" s="10" t="s">
        <v>187</v>
      </c>
      <c r="D27" s="201">
        <v>1376284.53</v>
      </c>
      <c r="E27" s="225">
        <f>E28-E32</f>
        <v>173899.74000000002</v>
      </c>
      <c r="F27" s="72"/>
    </row>
    <row r="28" spans="2:6">
      <c r="B28" s="9" t="s">
        <v>18</v>
      </c>
      <c r="C28" s="10" t="s">
        <v>19</v>
      </c>
      <c r="D28" s="201">
        <v>1965704.36</v>
      </c>
      <c r="E28" s="226">
        <f>E29+E30+E31</f>
        <v>200031.2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1965704.36</v>
      </c>
      <c r="E31" s="227">
        <v>200031.2</v>
      </c>
      <c r="F31" s="72"/>
    </row>
    <row r="32" spans="2:6">
      <c r="B32" s="93" t="s">
        <v>23</v>
      </c>
      <c r="C32" s="11" t="s">
        <v>24</v>
      </c>
      <c r="D32" s="201">
        <v>589419.83000000007</v>
      </c>
      <c r="E32" s="226">
        <f>E33+E35+E37+E39</f>
        <v>26131.46</v>
      </c>
      <c r="F32" s="72"/>
    </row>
    <row r="33" spans="2:6">
      <c r="B33" s="181" t="s">
        <v>4</v>
      </c>
      <c r="C33" s="174" t="s">
        <v>25</v>
      </c>
      <c r="D33" s="202">
        <v>273485.76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268.68</v>
      </c>
      <c r="E35" s="227">
        <v>397.92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19861.59</v>
      </c>
      <c r="E37" s="227">
        <v>25733.54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295803.8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94166.95</v>
      </c>
      <c r="E40" s="233">
        <v>-308530.36</v>
      </c>
    </row>
    <row r="41" spans="2:6" ht="13.5" thickBot="1">
      <c r="B41" s="100" t="s">
        <v>37</v>
      </c>
      <c r="C41" s="101" t="s">
        <v>38</v>
      </c>
      <c r="D41" s="205">
        <v>1524917.53</v>
      </c>
      <c r="E41" s="149">
        <f>E26+E27+E40</f>
        <v>1390286.9100000001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4815.7430000000004</v>
      </c>
      <c r="E47" s="150">
        <v>121798.52499999999</v>
      </c>
    </row>
    <row r="48" spans="2:6">
      <c r="B48" s="186" t="s">
        <v>6</v>
      </c>
      <c r="C48" s="187" t="s">
        <v>41</v>
      </c>
      <c r="D48" s="207">
        <v>121798.52499999999</v>
      </c>
      <c r="E48" s="150">
        <v>135110.48699999999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11.31</v>
      </c>
      <c r="E50" s="150">
        <v>12.52</v>
      </c>
    </row>
    <row r="51" spans="2:5">
      <c r="B51" s="184" t="s">
        <v>6</v>
      </c>
      <c r="C51" s="185" t="s">
        <v>190</v>
      </c>
      <c r="D51" s="209">
        <v>11.31</v>
      </c>
      <c r="E51" s="76">
        <v>10.220000000000001</v>
      </c>
    </row>
    <row r="52" spans="2:5">
      <c r="B52" s="184" t="s">
        <v>8</v>
      </c>
      <c r="C52" s="185" t="s">
        <v>191</v>
      </c>
      <c r="D52" s="209">
        <v>12.63</v>
      </c>
      <c r="E52" s="76">
        <v>13.06</v>
      </c>
    </row>
    <row r="53" spans="2:5" ht="13.5" thickBot="1">
      <c r="B53" s="188" t="s">
        <v>9</v>
      </c>
      <c r="C53" s="189" t="s">
        <v>41</v>
      </c>
      <c r="D53" s="210">
        <v>12.52</v>
      </c>
      <c r="E53" s="234">
        <v>10.29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1390286.91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1390286.91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1390286.91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1390286.91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251</v>
      </c>
      <c r="C6" s="356"/>
      <c r="D6" s="356"/>
      <c r="E6" s="356"/>
    </row>
    <row r="7" spans="2:5" ht="14.25">
      <c r="B7" s="197"/>
      <c r="C7" s="197"/>
      <c r="D7" s="197"/>
      <c r="E7" s="19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9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1373697.16</v>
      </c>
      <c r="E11" s="258">
        <f>E12</f>
        <v>1286523.32</v>
      </c>
    </row>
    <row r="12" spans="2:5">
      <c r="B12" s="173" t="s">
        <v>4</v>
      </c>
      <c r="C12" s="174" t="s">
        <v>5</v>
      </c>
      <c r="D12" s="261">
        <v>1373697.16</v>
      </c>
      <c r="E12" s="262">
        <v>1286523.32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1373697.16</v>
      </c>
      <c r="E21" s="149">
        <f>E11</f>
        <v>1286523.32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0</v>
      </c>
      <c r="E26" s="232">
        <f>D21</f>
        <v>1373697.16</v>
      </c>
    </row>
    <row r="27" spans="2:6">
      <c r="B27" s="9" t="s">
        <v>17</v>
      </c>
      <c r="C27" s="10" t="s">
        <v>187</v>
      </c>
      <c r="D27" s="201">
        <v>1330956.8099999998</v>
      </c>
      <c r="E27" s="225">
        <f>E28-E32</f>
        <v>-1339</v>
      </c>
      <c r="F27" s="72"/>
    </row>
    <row r="28" spans="2:6">
      <c r="B28" s="9" t="s">
        <v>18</v>
      </c>
      <c r="C28" s="10" t="s">
        <v>19</v>
      </c>
      <c r="D28" s="201">
        <v>2793051.61</v>
      </c>
      <c r="E28" s="226">
        <f>E29+E30+E31</f>
        <v>200031.28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2793051.61</v>
      </c>
      <c r="E31" s="227">
        <v>200031.28</v>
      </c>
      <c r="F31" s="72"/>
    </row>
    <row r="32" spans="2:6">
      <c r="B32" s="93" t="s">
        <v>23</v>
      </c>
      <c r="C32" s="11" t="s">
        <v>24</v>
      </c>
      <c r="D32" s="201">
        <v>1462094.8</v>
      </c>
      <c r="E32" s="226">
        <f>E33+E35+E37+E39</f>
        <v>201370.28</v>
      </c>
      <c r="F32" s="72"/>
    </row>
    <row r="33" spans="2:6">
      <c r="B33" s="181" t="s">
        <v>4</v>
      </c>
      <c r="C33" s="174" t="s">
        <v>25</v>
      </c>
      <c r="D33" s="202"/>
      <c r="E33" s="227">
        <v>178327.17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187.61</v>
      </c>
      <c r="E35" s="227">
        <v>304.55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15221.47</v>
      </c>
      <c r="E37" s="227">
        <v>22738.560000000001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1446685.72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42740.35</v>
      </c>
      <c r="E40" s="233">
        <v>-85834.84</v>
      </c>
    </row>
    <row r="41" spans="2:6" ht="13.5" thickBot="1">
      <c r="B41" s="100" t="s">
        <v>37</v>
      </c>
      <c r="C41" s="101" t="s">
        <v>38</v>
      </c>
      <c r="D41" s="205">
        <v>1373697.16</v>
      </c>
      <c r="E41" s="149">
        <f>E26+E27+E40</f>
        <v>1286523.3199999998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/>
      <c r="E47" s="150">
        <v>117410.014</v>
      </c>
    </row>
    <row r="48" spans="2:6">
      <c r="B48" s="186" t="s">
        <v>6</v>
      </c>
      <c r="C48" s="187" t="s">
        <v>41</v>
      </c>
      <c r="D48" s="207">
        <v>117410.014</v>
      </c>
      <c r="E48" s="150">
        <v>116744.40300000001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/>
      <c r="E50" s="150">
        <v>11.7</v>
      </c>
    </row>
    <row r="51" spans="2:5">
      <c r="B51" s="184" t="s">
        <v>6</v>
      </c>
      <c r="C51" s="185" t="s">
        <v>190</v>
      </c>
      <c r="D51" s="209">
        <v>11.21</v>
      </c>
      <c r="E51" s="76">
        <v>10.99</v>
      </c>
    </row>
    <row r="52" spans="2:5">
      <c r="B52" s="184" t="s">
        <v>8</v>
      </c>
      <c r="C52" s="185" t="s">
        <v>191</v>
      </c>
      <c r="D52" s="209">
        <v>11.72</v>
      </c>
      <c r="E52" s="76">
        <v>11.81</v>
      </c>
    </row>
    <row r="53" spans="2:5" ht="13.5" thickBot="1">
      <c r="B53" s="188" t="s">
        <v>9</v>
      </c>
      <c r="C53" s="189" t="s">
        <v>41</v>
      </c>
      <c r="D53" s="210">
        <v>11.7</v>
      </c>
      <c r="E53" s="234">
        <v>11.02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1286523.32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1286523.32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1286523.32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1286523.32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252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19781.22</v>
      </c>
      <c r="E11" s="258">
        <f>E12</f>
        <v>4881.57</v>
      </c>
    </row>
    <row r="12" spans="2:5">
      <c r="B12" s="173" t="s">
        <v>4</v>
      </c>
      <c r="C12" s="174" t="s">
        <v>5</v>
      </c>
      <c r="D12" s="261">
        <v>19781.22</v>
      </c>
      <c r="E12" s="262">
        <v>4881.57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19781.22</v>
      </c>
      <c r="E21" s="149">
        <f>E11</f>
        <v>4881.57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54766.2</v>
      </c>
      <c r="E26" s="232">
        <f>D21</f>
        <v>19781.22</v>
      </c>
    </row>
    <row r="27" spans="2:6">
      <c r="B27" s="9" t="s">
        <v>17</v>
      </c>
      <c r="C27" s="10" t="s">
        <v>187</v>
      </c>
      <c r="D27" s="201">
        <v>-37833</v>
      </c>
      <c r="E27" s="225">
        <f>E28-E32</f>
        <v>-12720.260000000002</v>
      </c>
      <c r="F27" s="72"/>
    </row>
    <row r="28" spans="2:6">
      <c r="B28" s="9" t="s">
        <v>18</v>
      </c>
      <c r="C28" s="10" t="s">
        <v>19</v>
      </c>
      <c r="D28" s="201">
        <v>20896.28</v>
      </c>
      <c r="E28" s="226">
        <f>E29+E30+E31</f>
        <v>3922.14</v>
      </c>
      <c r="F28" s="72"/>
    </row>
    <row r="29" spans="2:6">
      <c r="B29" s="181" t="s">
        <v>4</v>
      </c>
      <c r="C29" s="174" t="s">
        <v>20</v>
      </c>
      <c r="D29" s="202">
        <v>1395.92</v>
      </c>
      <c r="E29" s="227">
        <v>2009.3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19500.36</v>
      </c>
      <c r="E31" s="227">
        <v>1912.84</v>
      </c>
      <c r="F31" s="72"/>
    </row>
    <row r="32" spans="2:6">
      <c r="B32" s="93" t="s">
        <v>23</v>
      </c>
      <c r="C32" s="11" t="s">
        <v>24</v>
      </c>
      <c r="D32" s="201">
        <v>58729.279999999999</v>
      </c>
      <c r="E32" s="226">
        <f>E33+E35+E37+E39</f>
        <v>16642.400000000001</v>
      </c>
      <c r="F32" s="72"/>
    </row>
    <row r="33" spans="2:6">
      <c r="B33" s="181" t="s">
        <v>4</v>
      </c>
      <c r="C33" s="174" t="s">
        <v>25</v>
      </c>
      <c r="D33" s="202">
        <v>11121.39</v>
      </c>
      <c r="E33" s="227">
        <v>179.48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262.42</v>
      </c>
      <c r="E35" s="227">
        <v>235.69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497.95</v>
      </c>
      <c r="E37" s="227">
        <v>177.48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46847.519999999997</v>
      </c>
      <c r="E39" s="228">
        <v>16049.75</v>
      </c>
      <c r="F39" s="72"/>
    </row>
    <row r="40" spans="2:6" ht="13.5" thickBot="1">
      <c r="B40" s="98" t="s">
        <v>35</v>
      </c>
      <c r="C40" s="99" t="s">
        <v>36</v>
      </c>
      <c r="D40" s="204">
        <v>2848.02</v>
      </c>
      <c r="E40" s="233">
        <v>-2179.39</v>
      </c>
    </row>
    <row r="41" spans="2:6" ht="13.5" thickBot="1">
      <c r="B41" s="100" t="s">
        <v>37</v>
      </c>
      <c r="C41" s="101" t="s">
        <v>38</v>
      </c>
      <c r="D41" s="205">
        <v>19781.219999999998</v>
      </c>
      <c r="E41" s="149">
        <f>E26+E27+E40</f>
        <v>4881.57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500.834</v>
      </c>
      <c r="E47" s="150">
        <v>168.99799999999999</v>
      </c>
    </row>
    <row r="48" spans="2:6">
      <c r="B48" s="186" t="s">
        <v>6</v>
      </c>
      <c r="C48" s="187" t="s">
        <v>41</v>
      </c>
      <c r="D48" s="207">
        <v>168.99799999999999</v>
      </c>
      <c r="E48" s="150">
        <v>50.686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109.35</v>
      </c>
      <c r="E50" s="150">
        <v>117.05</v>
      </c>
    </row>
    <row r="51" spans="2:5">
      <c r="B51" s="184" t="s">
        <v>6</v>
      </c>
      <c r="C51" s="185" t="s">
        <v>190</v>
      </c>
      <c r="D51" s="209">
        <v>108.03</v>
      </c>
      <c r="E51" s="150">
        <v>95.69</v>
      </c>
    </row>
    <row r="52" spans="2:5">
      <c r="B52" s="184" t="s">
        <v>8</v>
      </c>
      <c r="C52" s="185" t="s">
        <v>191</v>
      </c>
      <c r="D52" s="209">
        <v>120.13</v>
      </c>
      <c r="E52" s="76">
        <v>125.74</v>
      </c>
    </row>
    <row r="53" spans="2:5" ht="13.5" customHeight="1" thickBot="1">
      <c r="B53" s="188" t="s">
        <v>9</v>
      </c>
      <c r="C53" s="189" t="s">
        <v>41</v>
      </c>
      <c r="D53" s="210">
        <v>117.05</v>
      </c>
      <c r="E53" s="234">
        <v>96.31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4881.57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4881.57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4881.57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4881.57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253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456609.17</v>
      </c>
      <c r="E11" s="258">
        <f>E12</f>
        <v>532372</v>
      </c>
    </row>
    <row r="12" spans="2:5">
      <c r="B12" s="173" t="s">
        <v>4</v>
      </c>
      <c r="C12" s="174" t="s">
        <v>5</v>
      </c>
      <c r="D12" s="261">
        <v>456609.17</v>
      </c>
      <c r="E12" s="262">
        <f>533266.82-894.82</f>
        <v>532372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456609.17</v>
      </c>
      <c r="E21" s="149">
        <f>E11</f>
        <v>532372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388105.74</v>
      </c>
      <c r="E26" s="232">
        <f>D21</f>
        <v>456609.17</v>
      </c>
    </row>
    <row r="27" spans="2:6">
      <c r="B27" s="9" t="s">
        <v>17</v>
      </c>
      <c r="C27" s="10" t="s">
        <v>187</v>
      </c>
      <c r="D27" s="201">
        <v>47924.790000000008</v>
      </c>
      <c r="E27" s="225">
        <f>E28-E32</f>
        <v>62321.520000000004</v>
      </c>
      <c r="F27" s="72"/>
    </row>
    <row r="28" spans="2:6">
      <c r="B28" s="9" t="s">
        <v>18</v>
      </c>
      <c r="C28" s="10" t="s">
        <v>19</v>
      </c>
      <c r="D28" s="201">
        <v>177363.47</v>
      </c>
      <c r="E28" s="226">
        <f>E29+E30+E31</f>
        <v>85698.94</v>
      </c>
      <c r="F28" s="72"/>
    </row>
    <row r="29" spans="2:6">
      <c r="B29" s="181" t="s">
        <v>4</v>
      </c>
      <c r="C29" s="174" t="s">
        <v>20</v>
      </c>
      <c r="D29" s="202">
        <v>27743.24</v>
      </c>
      <c r="E29" s="227">
        <v>33485.58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149620.23000000001</v>
      </c>
      <c r="E31" s="227">
        <v>52213.36</v>
      </c>
      <c r="F31" s="72"/>
    </row>
    <row r="32" spans="2:6">
      <c r="B32" s="93" t="s">
        <v>23</v>
      </c>
      <c r="C32" s="11" t="s">
        <v>24</v>
      </c>
      <c r="D32" s="201">
        <v>129438.68</v>
      </c>
      <c r="E32" s="226">
        <f>E33+E35+E37+E39</f>
        <v>23377.42</v>
      </c>
      <c r="F32" s="72"/>
    </row>
    <row r="33" spans="2:6">
      <c r="B33" s="181" t="s">
        <v>4</v>
      </c>
      <c r="C33" s="174" t="s">
        <v>25</v>
      </c>
      <c r="D33" s="202">
        <v>73516.2</v>
      </c>
      <c r="E33" s="227">
        <f>9592.39+894.82</f>
        <v>10487.21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3060.09</v>
      </c>
      <c r="E35" s="227">
        <v>2948.69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6998.19</v>
      </c>
      <c r="E37" s="227">
        <v>7506.86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45864.2</v>
      </c>
      <c r="E39" s="228">
        <v>2434.66</v>
      </c>
      <c r="F39" s="72"/>
    </row>
    <row r="40" spans="2:6" ht="13.5" thickBot="1">
      <c r="B40" s="98" t="s">
        <v>35</v>
      </c>
      <c r="C40" s="99" t="s">
        <v>36</v>
      </c>
      <c r="D40" s="204">
        <v>20578.64</v>
      </c>
      <c r="E40" s="233">
        <v>13441.31</v>
      </c>
    </row>
    <row r="41" spans="2:6" ht="13.5" thickBot="1">
      <c r="B41" s="100" t="s">
        <v>37</v>
      </c>
      <c r="C41" s="101" t="s">
        <v>38</v>
      </c>
      <c r="D41" s="205">
        <v>456609.17000000004</v>
      </c>
      <c r="E41" s="149">
        <f>E26+E27+E40</f>
        <v>532372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1941.8879999999999</v>
      </c>
      <c r="E47" s="150">
        <v>2186.3020000000001</v>
      </c>
    </row>
    <row r="48" spans="2:6">
      <c r="B48" s="186" t="s">
        <v>6</v>
      </c>
      <c r="C48" s="187" t="s">
        <v>41</v>
      </c>
      <c r="D48" s="207">
        <v>2186.3020000000001</v>
      </c>
      <c r="E48" s="150">
        <v>2482.7309599999999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199.86</v>
      </c>
      <c r="E50" s="150">
        <v>208.85</v>
      </c>
    </row>
    <row r="51" spans="2:5">
      <c r="B51" s="184" t="s">
        <v>6</v>
      </c>
      <c r="C51" s="185" t="s">
        <v>190</v>
      </c>
      <c r="D51" s="209">
        <v>199.12</v>
      </c>
      <c r="E51" s="150">
        <v>207.65</v>
      </c>
    </row>
    <row r="52" spans="2:5">
      <c r="B52" s="184" t="s">
        <v>8</v>
      </c>
      <c r="C52" s="185" t="s">
        <v>191</v>
      </c>
      <c r="D52" s="209">
        <v>209.57</v>
      </c>
      <c r="E52" s="76">
        <v>214.43</v>
      </c>
    </row>
    <row r="53" spans="2:5" ht="13.5" thickBot="1">
      <c r="B53" s="188" t="s">
        <v>9</v>
      </c>
      <c r="C53" s="189" t="s">
        <v>41</v>
      </c>
      <c r="D53" s="210">
        <v>208.85</v>
      </c>
      <c r="E53" s="234">
        <v>214.43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532372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24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532372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532372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532372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254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247550.44</v>
      </c>
      <c r="E11" s="258">
        <f>E12</f>
        <v>208477.12</v>
      </c>
    </row>
    <row r="12" spans="2:5">
      <c r="B12" s="173" t="s">
        <v>4</v>
      </c>
      <c r="C12" s="174" t="s">
        <v>5</v>
      </c>
      <c r="D12" s="261">
        <v>247550.44</v>
      </c>
      <c r="E12" s="262">
        <f>210067.53-1590.41</f>
        <v>208477.12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247550.44</v>
      </c>
      <c r="E21" s="149">
        <f>E11-E17</f>
        <v>208477.12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186439.65999999997</v>
      </c>
      <c r="E26" s="232">
        <f>D21</f>
        <v>247550.44</v>
      </c>
    </row>
    <row r="27" spans="2:6">
      <c r="B27" s="9" t="s">
        <v>17</v>
      </c>
      <c r="C27" s="10" t="s">
        <v>187</v>
      </c>
      <c r="D27" s="201">
        <v>45702.609999999986</v>
      </c>
      <c r="E27" s="225">
        <f>E28-E32</f>
        <v>-33736.36</v>
      </c>
      <c r="F27" s="72"/>
    </row>
    <row r="28" spans="2:6">
      <c r="B28" s="9" t="s">
        <v>18</v>
      </c>
      <c r="C28" s="10" t="s">
        <v>19</v>
      </c>
      <c r="D28" s="201">
        <v>112425.15999999999</v>
      </c>
      <c r="E28" s="226">
        <f>E29+E30+E31</f>
        <v>40054.839999999997</v>
      </c>
      <c r="F28" s="72"/>
    </row>
    <row r="29" spans="2:6">
      <c r="B29" s="181" t="s">
        <v>4</v>
      </c>
      <c r="C29" s="174" t="s">
        <v>20</v>
      </c>
      <c r="D29" s="202">
        <v>32021.119999999999</v>
      </c>
      <c r="E29" s="227">
        <v>30980.35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80404.039999999994</v>
      </c>
      <c r="E31" s="227">
        <v>9074.49</v>
      </c>
      <c r="F31" s="72"/>
    </row>
    <row r="32" spans="2:6">
      <c r="B32" s="93" t="s">
        <v>23</v>
      </c>
      <c r="C32" s="11" t="s">
        <v>24</v>
      </c>
      <c r="D32" s="201">
        <v>66722.55</v>
      </c>
      <c r="E32" s="226">
        <f>E33+E35+E37+E39</f>
        <v>73791.199999999997</v>
      </c>
      <c r="F32" s="72"/>
    </row>
    <row r="33" spans="2:6">
      <c r="B33" s="181" t="s">
        <v>4</v>
      </c>
      <c r="C33" s="174" t="s">
        <v>25</v>
      </c>
      <c r="D33" s="202">
        <v>59011.86</v>
      </c>
      <c r="E33" s="227">
        <f>37376.14+1403.68</f>
        <v>38779.82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3627.93</v>
      </c>
      <c r="E35" s="227">
        <v>3122.02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1523.17</v>
      </c>
      <c r="E37" s="227">
        <v>1629.36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2559.59</v>
      </c>
      <c r="E39" s="228">
        <v>30260</v>
      </c>
      <c r="F39" s="72"/>
    </row>
    <row r="40" spans="2:6" ht="13.5" thickBot="1">
      <c r="B40" s="98" t="s">
        <v>35</v>
      </c>
      <c r="C40" s="99" t="s">
        <v>36</v>
      </c>
      <c r="D40" s="204">
        <v>15408.17</v>
      </c>
      <c r="E40" s="233">
        <v>-5336.96</v>
      </c>
    </row>
    <row r="41" spans="2:6" ht="13.5" thickBot="1">
      <c r="B41" s="100" t="s">
        <v>37</v>
      </c>
      <c r="C41" s="101" t="s">
        <v>38</v>
      </c>
      <c r="D41" s="205">
        <v>247550.43999999997</v>
      </c>
      <c r="E41" s="149">
        <f>E26+E27+E40</f>
        <v>208477.12000000002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1232.3330000000001</v>
      </c>
      <c r="E47" s="236">
        <v>1508.626</v>
      </c>
    </row>
    <row r="48" spans="2:6">
      <c r="B48" s="186" t="s">
        <v>6</v>
      </c>
      <c r="C48" s="187" t="s">
        <v>41</v>
      </c>
      <c r="D48" s="207">
        <v>1508.626</v>
      </c>
      <c r="E48" s="236">
        <v>1300.21903</v>
      </c>
    </row>
    <row r="49" spans="2:5">
      <c r="B49" s="121" t="s">
        <v>23</v>
      </c>
      <c r="C49" s="125" t="s">
        <v>189</v>
      </c>
      <c r="D49" s="208"/>
      <c r="E49" s="212"/>
    </row>
    <row r="50" spans="2:5">
      <c r="B50" s="184" t="s">
        <v>4</v>
      </c>
      <c r="C50" s="185" t="s">
        <v>40</v>
      </c>
      <c r="D50" s="206">
        <v>151.29</v>
      </c>
      <c r="E50" s="237">
        <v>164.09</v>
      </c>
    </row>
    <row r="51" spans="2:5">
      <c r="B51" s="184" t="s">
        <v>6</v>
      </c>
      <c r="C51" s="185" t="s">
        <v>190</v>
      </c>
      <c r="D51" s="209">
        <v>151.12</v>
      </c>
      <c r="E51" s="295">
        <v>158.06</v>
      </c>
    </row>
    <row r="52" spans="2:5">
      <c r="B52" s="184" t="s">
        <v>8</v>
      </c>
      <c r="C52" s="185" t="s">
        <v>191</v>
      </c>
      <c r="D52" s="209">
        <v>164.47</v>
      </c>
      <c r="E52" s="295">
        <v>166.89</v>
      </c>
    </row>
    <row r="53" spans="2:5" ht="13.5" customHeight="1" thickBot="1">
      <c r="B53" s="188" t="s">
        <v>9</v>
      </c>
      <c r="C53" s="189" t="s">
        <v>41</v>
      </c>
      <c r="D53" s="210">
        <v>164.09</v>
      </c>
      <c r="E53" s="234">
        <v>160.34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208477.12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4.2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208477.12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208477.12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208477.12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255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351768.4</v>
      </c>
      <c r="E11" s="258">
        <f>E12</f>
        <v>104822.06</v>
      </c>
    </row>
    <row r="12" spans="2:5">
      <c r="B12" s="173" t="s">
        <v>4</v>
      </c>
      <c r="C12" s="174" t="s">
        <v>5</v>
      </c>
      <c r="D12" s="261">
        <v>351768.4</v>
      </c>
      <c r="E12" s="262">
        <f>105121.03-298.97</f>
        <v>104822.06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351768.4</v>
      </c>
      <c r="E21" s="149">
        <f>E11</f>
        <v>104822.06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287519.93</v>
      </c>
      <c r="E26" s="232">
        <f>D21</f>
        <v>351768.4</v>
      </c>
    </row>
    <row r="27" spans="2:6">
      <c r="B27" s="9" t="s">
        <v>17</v>
      </c>
      <c r="C27" s="10" t="s">
        <v>187</v>
      </c>
      <c r="D27" s="201">
        <v>29364.260000000009</v>
      </c>
      <c r="E27" s="225">
        <f>E28-E32</f>
        <v>-235058.03</v>
      </c>
      <c r="F27" s="72"/>
    </row>
    <row r="28" spans="2:6">
      <c r="B28" s="9" t="s">
        <v>18</v>
      </c>
      <c r="C28" s="10" t="s">
        <v>19</v>
      </c>
      <c r="D28" s="201">
        <v>116013.69</v>
      </c>
      <c r="E28" s="226">
        <f>E29+E30+E31</f>
        <v>15344.53</v>
      </c>
      <c r="F28" s="72"/>
    </row>
    <row r="29" spans="2:6">
      <c r="B29" s="181" t="s">
        <v>4</v>
      </c>
      <c r="C29" s="174" t="s">
        <v>20</v>
      </c>
      <c r="D29" s="202">
        <v>10318.52</v>
      </c>
      <c r="E29" s="227">
        <v>11543.11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105695.17</v>
      </c>
      <c r="E31" s="227">
        <v>3801.42</v>
      </c>
      <c r="F31" s="72"/>
    </row>
    <row r="32" spans="2:6">
      <c r="B32" s="93" t="s">
        <v>23</v>
      </c>
      <c r="C32" s="11" t="s">
        <v>24</v>
      </c>
      <c r="D32" s="201">
        <v>86649.43</v>
      </c>
      <c r="E32" s="226">
        <f>E33+E35+E37+E39</f>
        <v>250402.56</v>
      </c>
      <c r="F32" s="72"/>
    </row>
    <row r="33" spans="2:6">
      <c r="B33" s="181" t="s">
        <v>4</v>
      </c>
      <c r="C33" s="174" t="s">
        <v>25</v>
      </c>
      <c r="D33" s="202">
        <v>67164.899999999994</v>
      </c>
      <c r="E33" s="227">
        <f>219699.84+298.97</f>
        <v>219998.81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563.4</v>
      </c>
      <c r="E35" s="227">
        <v>763.83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5309.94</v>
      </c>
      <c r="E37" s="227">
        <v>2580.25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13611.19</v>
      </c>
      <c r="E39" s="228">
        <v>27059.67</v>
      </c>
      <c r="F39" s="72"/>
    </row>
    <row r="40" spans="2:6" ht="13.5" thickBot="1">
      <c r="B40" s="98" t="s">
        <v>35</v>
      </c>
      <c r="C40" s="99" t="s">
        <v>36</v>
      </c>
      <c r="D40" s="204">
        <v>34884.21</v>
      </c>
      <c r="E40" s="233">
        <v>-11888.31</v>
      </c>
    </row>
    <row r="41" spans="2:6" ht="13.5" thickBot="1">
      <c r="B41" s="100" t="s">
        <v>37</v>
      </c>
      <c r="C41" s="101" t="s">
        <v>38</v>
      </c>
      <c r="D41" s="205">
        <v>351768.4</v>
      </c>
      <c r="E41" s="149">
        <f>E26+E27+E40</f>
        <v>104822.06000000003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2196.8209999999999</v>
      </c>
      <c r="E47" s="150">
        <v>2405.5830000000001</v>
      </c>
    </row>
    <row r="48" spans="2:6">
      <c r="B48" s="186" t="s">
        <v>6</v>
      </c>
      <c r="C48" s="187" t="s">
        <v>41</v>
      </c>
      <c r="D48" s="207">
        <v>2405.5830000000001</v>
      </c>
      <c r="E48" s="150">
        <v>763.28594999999996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130.88</v>
      </c>
      <c r="E50" s="150">
        <v>146.22999999999999</v>
      </c>
    </row>
    <row r="51" spans="2:5">
      <c r="B51" s="184" t="s">
        <v>6</v>
      </c>
      <c r="C51" s="185" t="s">
        <v>190</v>
      </c>
      <c r="D51" s="209">
        <v>130.88</v>
      </c>
      <c r="E51" s="150">
        <v>134.24</v>
      </c>
    </row>
    <row r="52" spans="2:5">
      <c r="B52" s="184" t="s">
        <v>8</v>
      </c>
      <c r="C52" s="185" t="s">
        <v>191</v>
      </c>
      <c r="D52" s="209">
        <v>147.05000000000001</v>
      </c>
      <c r="E52" s="76">
        <v>150.63</v>
      </c>
    </row>
    <row r="53" spans="2:5" ht="12.75" customHeight="1" thickBot="1">
      <c r="B53" s="188" t="s">
        <v>9</v>
      </c>
      <c r="C53" s="189" t="s">
        <v>41</v>
      </c>
      <c r="D53" s="210">
        <v>146.22999999999999</v>
      </c>
      <c r="E53" s="234">
        <v>137.33000000000001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104822.06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104822.06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104822.06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104822.06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256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264424.64</v>
      </c>
      <c r="E11" s="258">
        <f>E12</f>
        <v>101938.44</v>
      </c>
    </row>
    <row r="12" spans="2:5">
      <c r="B12" s="173" t="s">
        <v>4</v>
      </c>
      <c r="C12" s="174" t="s">
        <v>5</v>
      </c>
      <c r="D12" s="261">
        <v>264424.64</v>
      </c>
      <c r="E12" s="262">
        <v>101938.44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264424.64</v>
      </c>
      <c r="E21" s="149">
        <f>E11</f>
        <v>101938.44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501075.93</v>
      </c>
      <c r="E26" s="232">
        <f>D21</f>
        <v>264424.64</v>
      </c>
    </row>
    <row r="27" spans="2:6">
      <c r="B27" s="9" t="s">
        <v>17</v>
      </c>
      <c r="C27" s="10" t="s">
        <v>187</v>
      </c>
      <c r="D27" s="201">
        <v>-252964.77000000002</v>
      </c>
      <c r="E27" s="225">
        <f>E28-E32</f>
        <v>-124195.45000000001</v>
      </c>
      <c r="F27" s="72"/>
    </row>
    <row r="28" spans="2:6">
      <c r="B28" s="9" t="s">
        <v>18</v>
      </c>
      <c r="C28" s="10" t="s">
        <v>19</v>
      </c>
      <c r="D28" s="201">
        <v>50469.99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50469.99</v>
      </c>
      <c r="E31" s="227"/>
      <c r="F31" s="72"/>
    </row>
    <row r="32" spans="2:6">
      <c r="B32" s="93" t="s">
        <v>23</v>
      </c>
      <c r="C32" s="11" t="s">
        <v>24</v>
      </c>
      <c r="D32" s="201">
        <v>303434.76</v>
      </c>
      <c r="E32" s="226">
        <f>E33+E35+E37+E39</f>
        <v>124195.45000000001</v>
      </c>
      <c r="F32" s="72"/>
    </row>
    <row r="33" spans="2:6">
      <c r="B33" s="181" t="s">
        <v>4</v>
      </c>
      <c r="C33" s="174" t="s">
        <v>25</v>
      </c>
      <c r="D33" s="202">
        <v>209484.79</v>
      </c>
      <c r="E33" s="227">
        <v>55833.9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1242.8399999999999</v>
      </c>
      <c r="E35" s="227">
        <v>915.8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1325.89</v>
      </c>
      <c r="E37" s="227">
        <v>1959.04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91381.24</v>
      </c>
      <c r="E39" s="228">
        <v>65486.71</v>
      </c>
      <c r="F39" s="72"/>
    </row>
    <row r="40" spans="2:6" ht="13.5" thickBot="1">
      <c r="B40" s="98" t="s">
        <v>35</v>
      </c>
      <c r="C40" s="99" t="s">
        <v>36</v>
      </c>
      <c r="D40" s="204">
        <v>16313.48</v>
      </c>
      <c r="E40" s="233">
        <v>-38290.75</v>
      </c>
    </row>
    <row r="41" spans="2:6" ht="13.5" thickBot="1">
      <c r="B41" s="100" t="s">
        <v>37</v>
      </c>
      <c r="C41" s="101" t="s">
        <v>38</v>
      </c>
      <c r="D41" s="205">
        <v>264424.63999999996</v>
      </c>
      <c r="E41" s="149">
        <f>E26+E27+E40</f>
        <v>101938.44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3996.4582</v>
      </c>
      <c r="E47" s="150">
        <v>2103.6169</v>
      </c>
    </row>
    <row r="48" spans="2:6">
      <c r="B48" s="186" t="s">
        <v>6</v>
      </c>
      <c r="C48" s="187" t="s">
        <v>41</v>
      </c>
      <c r="D48" s="207">
        <v>2103.6169</v>
      </c>
      <c r="E48" s="150">
        <v>999.88660000000004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125.38</v>
      </c>
      <c r="E50" s="150">
        <v>125.7</v>
      </c>
    </row>
    <row r="51" spans="2:5">
      <c r="B51" s="184" t="s">
        <v>6</v>
      </c>
      <c r="C51" s="185" t="s">
        <v>190</v>
      </c>
      <c r="D51" s="209">
        <v>122.05</v>
      </c>
      <c r="E51" s="150">
        <v>99.37</v>
      </c>
    </row>
    <row r="52" spans="2:5">
      <c r="B52" s="184" t="s">
        <v>8</v>
      </c>
      <c r="C52" s="185" t="s">
        <v>191</v>
      </c>
      <c r="D52" s="209">
        <v>139.28</v>
      </c>
      <c r="E52" s="76">
        <v>131.03</v>
      </c>
    </row>
    <row r="53" spans="2:5" ht="14.25" customHeight="1" thickBot="1">
      <c r="B53" s="188" t="s">
        <v>9</v>
      </c>
      <c r="C53" s="189" t="s">
        <v>41</v>
      </c>
      <c r="D53" s="210">
        <v>125.7</v>
      </c>
      <c r="E53" s="234">
        <v>101.95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101938.44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101938.44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101938.44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101938.44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210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992505.74</v>
      </c>
      <c r="E11" s="258">
        <f>E12</f>
        <v>693310.99</v>
      </c>
    </row>
    <row r="12" spans="2:5">
      <c r="B12" s="173" t="s">
        <v>4</v>
      </c>
      <c r="C12" s="174" t="s">
        <v>5</v>
      </c>
      <c r="D12" s="261">
        <v>992505.74</v>
      </c>
      <c r="E12" s="262">
        <v>693310.99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992505.74</v>
      </c>
      <c r="E21" s="149">
        <f>E11</f>
        <v>693310.99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20813.419999999998</v>
      </c>
      <c r="E26" s="232">
        <f>D21</f>
        <v>992505.74</v>
      </c>
    </row>
    <row r="27" spans="2:6">
      <c r="B27" s="9" t="s">
        <v>17</v>
      </c>
      <c r="C27" s="10" t="s">
        <v>187</v>
      </c>
      <c r="D27" s="201">
        <v>995223.94</v>
      </c>
      <c r="E27" s="225">
        <f>E28-E32</f>
        <v>-75815.8</v>
      </c>
      <c r="F27" s="72"/>
    </row>
    <row r="28" spans="2:6">
      <c r="B28" s="9" t="s">
        <v>18</v>
      </c>
      <c r="C28" s="10" t="s">
        <v>19</v>
      </c>
      <c r="D28" s="201">
        <v>1545197.9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1545197.9</v>
      </c>
      <c r="E31" s="227"/>
      <c r="F31" s="72"/>
    </row>
    <row r="32" spans="2:6">
      <c r="B32" s="93" t="s">
        <v>23</v>
      </c>
      <c r="C32" s="11" t="s">
        <v>24</v>
      </c>
      <c r="D32" s="201">
        <v>549973.96</v>
      </c>
      <c r="E32" s="226">
        <f>E33+E35+E37+E39</f>
        <v>75815.8</v>
      </c>
      <c r="F32" s="72"/>
    </row>
    <row r="33" spans="2:6">
      <c r="B33" s="181" t="s">
        <v>4</v>
      </c>
      <c r="C33" s="174" t="s">
        <v>25</v>
      </c>
      <c r="D33" s="202">
        <v>439560.2</v>
      </c>
      <c r="E33" s="227">
        <v>61234.12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571.75</v>
      </c>
      <c r="E35" s="227">
        <v>884.01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17984.36</v>
      </c>
      <c r="E37" s="227">
        <v>13697.67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91857.65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-23531.62</v>
      </c>
      <c r="E40" s="233">
        <v>-223378.95</v>
      </c>
    </row>
    <row r="41" spans="2:6" ht="13.5" thickBot="1">
      <c r="B41" s="100" t="s">
        <v>37</v>
      </c>
      <c r="C41" s="101" t="s">
        <v>38</v>
      </c>
      <c r="D41" s="205">
        <v>992505.74</v>
      </c>
      <c r="E41" s="149">
        <f>E26+E27+E40</f>
        <v>693310.99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213.8219</v>
      </c>
      <c r="E47" s="150">
        <v>9333.3245999999999</v>
      </c>
    </row>
    <row r="48" spans="2:6">
      <c r="B48" s="186" t="s">
        <v>6</v>
      </c>
      <c r="C48" s="187" t="s">
        <v>41</v>
      </c>
      <c r="D48" s="207">
        <v>9333.3245999999999</v>
      </c>
      <c r="E48" s="150">
        <v>8478.7940999999992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97.34</v>
      </c>
      <c r="E50" s="150">
        <v>106.34</v>
      </c>
    </row>
    <row r="51" spans="2:5">
      <c r="B51" s="184" t="s">
        <v>6</v>
      </c>
      <c r="C51" s="185" t="s">
        <v>190</v>
      </c>
      <c r="D51" s="209">
        <v>97.34</v>
      </c>
      <c r="E51" s="150">
        <v>81.2</v>
      </c>
    </row>
    <row r="52" spans="2:5">
      <c r="B52" s="184" t="s">
        <v>8</v>
      </c>
      <c r="C52" s="185" t="s">
        <v>191</v>
      </c>
      <c r="D52" s="209">
        <v>111.72</v>
      </c>
      <c r="E52" s="76">
        <v>109.91</v>
      </c>
    </row>
    <row r="53" spans="2:5" ht="12.75" customHeight="1" thickBot="1">
      <c r="B53" s="188" t="s">
        <v>9</v>
      </c>
      <c r="C53" s="189" t="s">
        <v>41</v>
      </c>
      <c r="D53" s="210">
        <v>106.34</v>
      </c>
      <c r="E53" s="234">
        <v>81.77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693310.99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693310.99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693310.99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693310.99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G81"/>
  <sheetViews>
    <sheetView zoomScale="80" zoomScaleNormal="80" workbookViewId="0">
      <selection activeCell="K31" sqref="K3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6"/>
      <c r="C4" s="86"/>
      <c r="D4" s="86"/>
      <c r="E4" s="86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214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256"/>
      <c r="C10" s="216" t="s">
        <v>2</v>
      </c>
      <c r="D10" s="71" t="s">
        <v>223</v>
      </c>
      <c r="E10" s="29" t="s">
        <v>267</v>
      </c>
    </row>
    <row r="11" spans="2:7">
      <c r="B11" s="91" t="s">
        <v>3</v>
      </c>
      <c r="C11" s="193" t="s">
        <v>185</v>
      </c>
      <c r="D11" s="257">
        <v>239096.18999999997</v>
      </c>
      <c r="E11" s="258">
        <f>E12+E13+E14</f>
        <v>242909.18</v>
      </c>
    </row>
    <row r="12" spans="2:7">
      <c r="B12" s="173" t="s">
        <v>4</v>
      </c>
      <c r="C12" s="312" t="s">
        <v>5</v>
      </c>
      <c r="D12" s="313">
        <v>238435.53999999998</v>
      </c>
      <c r="E12" s="262">
        <v>241363.24</v>
      </c>
    </row>
    <row r="13" spans="2:7">
      <c r="B13" s="173" t="s">
        <v>6</v>
      </c>
      <c r="C13" s="312" t="s">
        <v>7</v>
      </c>
      <c r="D13" s="313"/>
      <c r="E13" s="262"/>
    </row>
    <row r="14" spans="2:7">
      <c r="B14" s="173" t="s">
        <v>8</v>
      </c>
      <c r="C14" s="312" t="s">
        <v>10</v>
      </c>
      <c r="D14" s="313">
        <v>660.65000000000009</v>
      </c>
      <c r="E14" s="262">
        <f>E15</f>
        <v>1545.94</v>
      </c>
    </row>
    <row r="15" spans="2:7">
      <c r="B15" s="173" t="s">
        <v>182</v>
      </c>
      <c r="C15" s="312" t="s">
        <v>11</v>
      </c>
      <c r="D15" s="313">
        <v>660.65000000000009</v>
      </c>
      <c r="E15" s="262">
        <v>1545.94</v>
      </c>
    </row>
    <row r="16" spans="2:7">
      <c r="B16" s="176" t="s">
        <v>183</v>
      </c>
      <c r="C16" s="314" t="s">
        <v>12</v>
      </c>
      <c r="D16" s="315"/>
      <c r="E16" s="264"/>
    </row>
    <row r="17" spans="2:6">
      <c r="B17" s="9" t="s">
        <v>13</v>
      </c>
      <c r="C17" s="196" t="s">
        <v>65</v>
      </c>
      <c r="D17" s="316">
        <v>440.71</v>
      </c>
      <c r="E17" s="266">
        <f>E18</f>
        <v>463.58</v>
      </c>
    </row>
    <row r="18" spans="2:6">
      <c r="B18" s="173" t="s">
        <v>4</v>
      </c>
      <c r="C18" s="312" t="s">
        <v>11</v>
      </c>
      <c r="D18" s="315">
        <v>440.71</v>
      </c>
      <c r="E18" s="306">
        <v>463.58</v>
      </c>
    </row>
    <row r="19" spans="2:6" ht="15" customHeight="1">
      <c r="B19" s="173" t="s">
        <v>6</v>
      </c>
      <c r="C19" s="312" t="s">
        <v>184</v>
      </c>
      <c r="D19" s="313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238655.47999999998</v>
      </c>
      <c r="E21" s="149">
        <f>E11-E17</f>
        <v>242445.6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6.5" customHeight="1" thickBot="1">
      <c r="B24" s="357" t="s">
        <v>181</v>
      </c>
      <c r="C24" s="369"/>
      <c r="D24" s="369"/>
      <c r="E24" s="369"/>
    </row>
    <row r="25" spans="2:6" ht="13.5" thickBot="1">
      <c r="B25" s="256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215075.88</v>
      </c>
      <c r="E26" s="232">
        <f>D21</f>
        <v>238655.47999999998</v>
      </c>
    </row>
    <row r="27" spans="2:6">
      <c r="B27" s="9" t="s">
        <v>17</v>
      </c>
      <c r="C27" s="10" t="s">
        <v>187</v>
      </c>
      <c r="D27" s="201">
        <v>30487.210000000006</v>
      </c>
      <c r="E27" s="225">
        <f>E28-E32</f>
        <v>41765.660000000003</v>
      </c>
      <c r="F27" s="72"/>
    </row>
    <row r="28" spans="2:6">
      <c r="B28" s="9" t="s">
        <v>18</v>
      </c>
      <c r="C28" s="10" t="s">
        <v>19</v>
      </c>
      <c r="D28" s="201">
        <v>103327.8</v>
      </c>
      <c r="E28" s="226">
        <v>95999.55</v>
      </c>
      <c r="F28" s="72"/>
    </row>
    <row r="29" spans="2:6">
      <c r="B29" s="181" t="s">
        <v>4</v>
      </c>
      <c r="C29" s="174" t="s">
        <v>20</v>
      </c>
      <c r="D29" s="202">
        <v>103039.32</v>
      </c>
      <c r="E29" s="227">
        <v>95999.55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288.48</v>
      </c>
      <c r="E31" s="227"/>
      <c r="F31" s="72"/>
    </row>
    <row r="32" spans="2:6">
      <c r="B32" s="93" t="s">
        <v>23</v>
      </c>
      <c r="C32" s="11" t="s">
        <v>24</v>
      </c>
      <c r="D32" s="201">
        <v>72840.59</v>
      </c>
      <c r="E32" s="226">
        <f>SUM(E33:E39)</f>
        <v>54233.89</v>
      </c>
      <c r="F32" s="72"/>
    </row>
    <row r="33" spans="2:6">
      <c r="B33" s="181" t="s">
        <v>4</v>
      </c>
      <c r="C33" s="174" t="s">
        <v>25</v>
      </c>
      <c r="D33" s="202">
        <v>33217.57</v>
      </c>
      <c r="E33" s="227">
        <v>31320.78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8498.4</v>
      </c>
      <c r="E35" s="227">
        <v>7650.77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31124.62</v>
      </c>
      <c r="E39" s="228">
        <v>15262.34</v>
      </c>
      <c r="F39" s="72"/>
    </row>
    <row r="40" spans="2:6" ht="13.5" thickBot="1">
      <c r="B40" s="98" t="s">
        <v>35</v>
      </c>
      <c r="C40" s="99" t="s">
        <v>36</v>
      </c>
      <c r="D40" s="204">
        <v>-6907.61</v>
      </c>
      <c r="E40" s="233">
        <v>-37975.54</v>
      </c>
    </row>
    <row r="41" spans="2:6" ht="13.5" thickBot="1">
      <c r="B41" s="100" t="s">
        <v>37</v>
      </c>
      <c r="C41" s="101" t="s">
        <v>38</v>
      </c>
      <c r="D41" s="205">
        <v>238655.48000000004</v>
      </c>
      <c r="E41" s="149">
        <f>E26+E27+E40</f>
        <v>242445.6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5.7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22714.638299999999</v>
      </c>
      <c r="E47" s="74">
        <v>26187.101900000001</v>
      </c>
    </row>
    <row r="48" spans="2:6">
      <c r="B48" s="124" t="s">
        <v>6</v>
      </c>
      <c r="C48" s="22" t="s">
        <v>41</v>
      </c>
      <c r="D48" s="207">
        <v>26187.101900000001</v>
      </c>
      <c r="E48" s="302">
        <v>30961.049299999999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9.46860245624074</v>
      </c>
      <c r="E50" s="74">
        <v>9.1134742939996691</v>
      </c>
    </row>
    <row r="51" spans="2:5">
      <c r="B51" s="103" t="s">
        <v>6</v>
      </c>
      <c r="C51" s="15" t="s">
        <v>190</v>
      </c>
      <c r="D51" s="294">
        <v>8.4769000000000005</v>
      </c>
      <c r="E51" s="76">
        <v>7.8175999999999997</v>
      </c>
    </row>
    <row r="52" spans="2:5">
      <c r="B52" s="103" t="s">
        <v>8</v>
      </c>
      <c r="C52" s="15" t="s">
        <v>191</v>
      </c>
      <c r="D52" s="294">
        <v>9.5625</v>
      </c>
      <c r="E52" s="76">
        <v>9.3289000000000009</v>
      </c>
    </row>
    <row r="53" spans="2:5" ht="13.5" thickBot="1">
      <c r="B53" s="104" t="s">
        <v>9</v>
      </c>
      <c r="C53" s="17" t="s">
        <v>41</v>
      </c>
      <c r="D53" s="210">
        <v>9.1134742939996691</v>
      </c>
      <c r="E53" s="234">
        <v>7.8306648347347796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241363.24</v>
      </c>
      <c r="E58" s="32">
        <f>D58/E21</f>
        <v>0.99553565830850299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v>227424.99</v>
      </c>
      <c r="E64" s="82">
        <f>D64/E21</f>
        <v>0.93804544194656447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13938.25</v>
      </c>
      <c r="E69" s="80">
        <f>D69/E21</f>
        <v>5.7490216361938511E-2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1545.94</v>
      </c>
      <c r="E72" s="120">
        <f>D72/E21</f>
        <v>6.3764407355711965E-3</v>
      </c>
    </row>
    <row r="73" spans="2:5">
      <c r="B73" s="23" t="s">
        <v>62</v>
      </c>
      <c r="C73" s="24" t="s">
        <v>65</v>
      </c>
      <c r="D73" s="25">
        <f>E17</f>
        <v>463.58</v>
      </c>
      <c r="E73" s="26">
        <f>D73/E21</f>
        <v>1.9120990440742169E-3</v>
      </c>
    </row>
    <row r="74" spans="2:5">
      <c r="B74" s="121" t="s">
        <v>64</v>
      </c>
      <c r="C74" s="122" t="s">
        <v>66</v>
      </c>
      <c r="D74" s="123">
        <f>D58+D71+D72-D73</f>
        <v>242445.6</v>
      </c>
      <c r="E74" s="67">
        <f>E58+E72-E73</f>
        <v>1</v>
      </c>
    </row>
    <row r="75" spans="2:5">
      <c r="B75" s="14" t="s">
        <v>4</v>
      </c>
      <c r="C75" s="15" t="s">
        <v>67</v>
      </c>
      <c r="D75" s="79">
        <f>D74</f>
        <v>242445.6</v>
      </c>
      <c r="E75" s="80">
        <f>E74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125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1206221.68</v>
      </c>
      <c r="E11" s="258">
        <f>E12</f>
        <v>305221.19</v>
      </c>
    </row>
    <row r="12" spans="2:5">
      <c r="B12" s="173" t="s">
        <v>4</v>
      </c>
      <c r="C12" s="174" t="s">
        <v>5</v>
      </c>
      <c r="D12" s="261">
        <v>1206221.68</v>
      </c>
      <c r="E12" s="262">
        <v>305221.19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1206221.68</v>
      </c>
      <c r="E21" s="149">
        <f>E11</f>
        <v>305221.19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197752.71</v>
      </c>
      <c r="E26" s="232">
        <f>D21</f>
        <v>1206221.68</v>
      </c>
    </row>
    <row r="27" spans="2:6">
      <c r="B27" s="9" t="s">
        <v>17</v>
      </c>
      <c r="C27" s="10" t="s">
        <v>187</v>
      </c>
      <c r="D27" s="201">
        <v>1124094.28</v>
      </c>
      <c r="E27" s="225">
        <f>E28-E32</f>
        <v>-722056.16</v>
      </c>
      <c r="F27" s="72"/>
    </row>
    <row r="28" spans="2:6">
      <c r="B28" s="9" t="s">
        <v>18</v>
      </c>
      <c r="C28" s="10" t="s">
        <v>19</v>
      </c>
      <c r="D28" s="201">
        <v>1449665.08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1449665.08</v>
      </c>
      <c r="E31" s="227"/>
      <c r="F31" s="72"/>
    </row>
    <row r="32" spans="2:6">
      <c r="B32" s="93" t="s">
        <v>23</v>
      </c>
      <c r="C32" s="11" t="s">
        <v>24</v>
      </c>
      <c r="D32" s="201">
        <v>325570.8</v>
      </c>
      <c r="E32" s="226">
        <f>E33+E35+E37+E39</f>
        <v>722056.16</v>
      </c>
      <c r="F32" s="72"/>
    </row>
    <row r="33" spans="2:6">
      <c r="B33" s="181" t="s">
        <v>4</v>
      </c>
      <c r="C33" s="174" t="s">
        <v>25</v>
      </c>
      <c r="D33" s="202">
        <v>151940.84</v>
      </c>
      <c r="E33" s="227">
        <v>42266.77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862.59</v>
      </c>
      <c r="E35" s="227">
        <v>111.43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20463.21</v>
      </c>
      <c r="E37" s="227">
        <v>10099.719999999999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152304.16</v>
      </c>
      <c r="E39" s="228">
        <v>669578.23999999999</v>
      </c>
      <c r="F39" s="72"/>
    </row>
    <row r="40" spans="2:6" ht="13.5" thickBot="1">
      <c r="B40" s="98" t="s">
        <v>35</v>
      </c>
      <c r="C40" s="99" t="s">
        <v>36</v>
      </c>
      <c r="D40" s="204">
        <v>-115625.31</v>
      </c>
      <c r="E40" s="233">
        <v>-178944.33</v>
      </c>
    </row>
    <row r="41" spans="2:6" ht="13.5" thickBot="1">
      <c r="B41" s="100" t="s">
        <v>37</v>
      </c>
      <c r="C41" s="101" t="s">
        <v>38</v>
      </c>
      <c r="D41" s="205">
        <v>1206221.68</v>
      </c>
      <c r="E41" s="149">
        <f>E26+E27+E40</f>
        <v>305221.18999999994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3635.1601000000001</v>
      </c>
      <c r="E47" s="150">
        <v>22525.148099999999</v>
      </c>
    </row>
    <row r="48" spans="2:6">
      <c r="B48" s="186" t="s">
        <v>6</v>
      </c>
      <c r="C48" s="187" t="s">
        <v>41</v>
      </c>
      <c r="D48" s="207">
        <v>22525.148099999999</v>
      </c>
      <c r="E48" s="150">
        <v>8117.5848999999998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54.4</v>
      </c>
      <c r="E50" s="150">
        <v>53.55</v>
      </c>
    </row>
    <row r="51" spans="2:5">
      <c r="B51" s="184" t="s">
        <v>6</v>
      </c>
      <c r="C51" s="185" t="s">
        <v>190</v>
      </c>
      <c r="D51" s="209">
        <v>51.55</v>
      </c>
      <c r="E51" s="150">
        <v>37.6</v>
      </c>
    </row>
    <row r="52" spans="2:5">
      <c r="B52" s="184" t="s">
        <v>8</v>
      </c>
      <c r="C52" s="185" t="s">
        <v>191</v>
      </c>
      <c r="D52" s="209">
        <v>61.32</v>
      </c>
      <c r="E52" s="76">
        <v>55.83</v>
      </c>
    </row>
    <row r="53" spans="2:5" ht="14.25" customHeight="1" thickBot="1">
      <c r="B53" s="188" t="s">
        <v>9</v>
      </c>
      <c r="C53" s="189" t="s">
        <v>41</v>
      </c>
      <c r="D53" s="210">
        <v>53.55</v>
      </c>
      <c r="E53" s="234">
        <v>37.6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305221.19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305221.19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305221.19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305221.19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288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10312940.49</v>
      </c>
      <c r="E11" s="258">
        <f>E12</f>
        <v>5828461.5199999996</v>
      </c>
    </row>
    <row r="12" spans="2:5">
      <c r="B12" s="173" t="s">
        <v>4</v>
      </c>
      <c r="C12" s="174" t="s">
        <v>5</v>
      </c>
      <c r="D12" s="261">
        <v>10312940.49</v>
      </c>
      <c r="E12" s="262">
        <v>5828461.5199999996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10312940.49</v>
      </c>
      <c r="E21" s="149">
        <f>E11</f>
        <v>5828461.5199999996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14584813.24</v>
      </c>
      <c r="E26" s="232">
        <f>D21</f>
        <v>10312940.49</v>
      </c>
    </row>
    <row r="27" spans="2:6">
      <c r="B27" s="9" t="s">
        <v>17</v>
      </c>
      <c r="C27" s="10" t="s">
        <v>187</v>
      </c>
      <c r="D27" s="201">
        <v>-4931033.05</v>
      </c>
      <c r="E27" s="225">
        <f>E28-E32</f>
        <v>-2714090.54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4931033.05</v>
      </c>
      <c r="E32" s="226">
        <f>E33+E35+E37+E39</f>
        <v>2714090.54</v>
      </c>
      <c r="F32" s="72"/>
    </row>
    <row r="33" spans="2:6">
      <c r="B33" s="181" t="s">
        <v>4</v>
      </c>
      <c r="C33" s="174" t="s">
        <v>25</v>
      </c>
      <c r="D33" s="202">
        <v>2839249.51</v>
      </c>
      <c r="E33" s="227">
        <v>1536249.71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47203.98</v>
      </c>
      <c r="E35" s="227">
        <v>50793.86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207478.05</v>
      </c>
      <c r="E37" s="227">
        <v>128731.91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1837101.51</v>
      </c>
      <c r="E39" s="228">
        <v>998315.06</v>
      </c>
      <c r="F39" s="72"/>
    </row>
    <row r="40" spans="2:6" ht="13.5" thickBot="1">
      <c r="B40" s="98" t="s">
        <v>35</v>
      </c>
      <c r="C40" s="99" t="s">
        <v>36</v>
      </c>
      <c r="D40" s="204">
        <v>659160.30000000005</v>
      </c>
      <c r="E40" s="233">
        <v>-1770388.43</v>
      </c>
    </row>
    <row r="41" spans="2:6" ht="13.5" thickBot="1">
      <c r="B41" s="100" t="s">
        <v>37</v>
      </c>
      <c r="C41" s="101" t="s">
        <v>38</v>
      </c>
      <c r="D41" s="205">
        <v>10312940.490000002</v>
      </c>
      <c r="E41" s="149">
        <f>E26+E27+E40</f>
        <v>5828461.5200000005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189363.97349999999</v>
      </c>
      <c r="E47" s="150">
        <v>129738.8412</v>
      </c>
    </row>
    <row r="48" spans="2:6">
      <c r="B48" s="186" t="s">
        <v>6</v>
      </c>
      <c r="C48" s="187" t="s">
        <v>41</v>
      </c>
      <c r="D48" s="207">
        <v>129738.8412</v>
      </c>
      <c r="E48" s="150">
        <v>92721.309500000003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77.02</v>
      </c>
      <c r="E50" s="150">
        <v>79.489999999999995</v>
      </c>
    </row>
    <row r="51" spans="2:5">
      <c r="B51" s="184" t="s">
        <v>6</v>
      </c>
      <c r="C51" s="185" t="s">
        <v>190</v>
      </c>
      <c r="D51" s="209">
        <v>77.02</v>
      </c>
      <c r="E51" s="150">
        <v>62.11</v>
      </c>
    </row>
    <row r="52" spans="2:5">
      <c r="B52" s="184" t="s">
        <v>8</v>
      </c>
      <c r="C52" s="185" t="s">
        <v>191</v>
      </c>
      <c r="D52" s="209">
        <v>89.54</v>
      </c>
      <c r="E52" s="76">
        <v>82.94</v>
      </c>
    </row>
    <row r="53" spans="2:5" ht="14.25" customHeight="1" thickBot="1">
      <c r="B53" s="188" t="s">
        <v>9</v>
      </c>
      <c r="C53" s="189" t="s">
        <v>41</v>
      </c>
      <c r="D53" s="210">
        <v>79.489999999999995</v>
      </c>
      <c r="E53" s="234">
        <v>62.86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5828461.5199999996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5828461.5199999996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5828461.5199999996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5828461.5199999996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127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47681.71</v>
      </c>
      <c r="E11" s="258">
        <f>E12</f>
        <v>40117.21</v>
      </c>
    </row>
    <row r="12" spans="2:5">
      <c r="B12" s="173" t="s">
        <v>4</v>
      </c>
      <c r="C12" s="174" t="s">
        <v>5</v>
      </c>
      <c r="D12" s="261">
        <v>47681.71</v>
      </c>
      <c r="E12" s="262">
        <v>40117.21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47681.71</v>
      </c>
      <c r="E21" s="149">
        <f>E11</f>
        <v>40117.21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167165.93</v>
      </c>
      <c r="E26" s="232">
        <f>D21</f>
        <v>47681.71</v>
      </c>
    </row>
    <row r="27" spans="2:6">
      <c r="B27" s="9" t="s">
        <v>17</v>
      </c>
      <c r="C27" s="10" t="s">
        <v>187</v>
      </c>
      <c r="D27" s="201">
        <v>-124643.58000000007</v>
      </c>
      <c r="E27" s="225">
        <f>E28-E32</f>
        <v>-966.05</v>
      </c>
      <c r="F27" s="72"/>
    </row>
    <row r="28" spans="2:6">
      <c r="B28" s="9" t="s">
        <v>18</v>
      </c>
      <c r="C28" s="10" t="s">
        <v>19</v>
      </c>
      <c r="D28" s="201">
        <v>358099.36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358099.36</v>
      </c>
      <c r="E31" s="227"/>
      <c r="F31" s="72"/>
    </row>
    <row r="32" spans="2:6">
      <c r="B32" s="93" t="s">
        <v>23</v>
      </c>
      <c r="C32" s="11" t="s">
        <v>24</v>
      </c>
      <c r="D32" s="201">
        <v>482742.94000000006</v>
      </c>
      <c r="E32" s="226">
        <f>E33+E35+E37+E39</f>
        <v>966.05</v>
      </c>
      <c r="F32" s="72"/>
    </row>
    <row r="33" spans="2:6">
      <c r="B33" s="181" t="s">
        <v>4</v>
      </c>
      <c r="C33" s="174" t="s">
        <v>25</v>
      </c>
      <c r="D33" s="202">
        <v>262685.95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175.13</v>
      </c>
      <c r="E35" s="227">
        <v>268.33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4094.69</v>
      </c>
      <c r="E37" s="227">
        <v>697.72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215787.17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5159.3599999999997</v>
      </c>
      <c r="E40" s="233">
        <v>-6598.45</v>
      </c>
    </row>
    <row r="41" spans="2:6" ht="13.5" thickBot="1">
      <c r="B41" s="100" t="s">
        <v>37</v>
      </c>
      <c r="C41" s="101" t="s">
        <v>38</v>
      </c>
      <c r="D41" s="205">
        <v>47681.709999999919</v>
      </c>
      <c r="E41" s="149">
        <f>E26+E27+E40</f>
        <v>40117.21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2259.9153000000001</v>
      </c>
      <c r="E47" s="150">
        <v>591.07119999999998</v>
      </c>
    </row>
    <row r="48" spans="2:6">
      <c r="B48" s="186" t="s">
        <v>6</v>
      </c>
      <c r="C48" s="187" t="s">
        <v>41</v>
      </c>
      <c r="D48" s="207">
        <v>591.07119999999998</v>
      </c>
      <c r="E48" s="150">
        <v>578.05780000000004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73.97</v>
      </c>
      <c r="E50" s="150">
        <v>80.67</v>
      </c>
    </row>
    <row r="51" spans="2:5">
      <c r="B51" s="184" t="s">
        <v>6</v>
      </c>
      <c r="C51" s="185" t="s">
        <v>190</v>
      </c>
      <c r="D51" s="209">
        <v>73.97</v>
      </c>
      <c r="E51" s="76">
        <v>68.03</v>
      </c>
    </row>
    <row r="52" spans="2:5">
      <c r="B52" s="184" t="s">
        <v>8</v>
      </c>
      <c r="C52" s="185" t="s">
        <v>191</v>
      </c>
      <c r="D52" s="209">
        <v>83.48</v>
      </c>
      <c r="E52" s="76">
        <v>83.41</v>
      </c>
    </row>
    <row r="53" spans="2:5" ht="13.5" customHeight="1" thickBot="1">
      <c r="B53" s="188" t="s">
        <v>9</v>
      </c>
      <c r="C53" s="189" t="s">
        <v>41</v>
      </c>
      <c r="D53" s="210">
        <v>80.67</v>
      </c>
      <c r="E53" s="234">
        <v>69.400000000000006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40117.21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40117.21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40117.21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40117.21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126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466219.31</v>
      </c>
      <c r="E11" s="258">
        <f>E12</f>
        <v>415054.71</v>
      </c>
    </row>
    <row r="12" spans="2:5">
      <c r="B12" s="173" t="s">
        <v>4</v>
      </c>
      <c r="C12" s="174" t="s">
        <v>5</v>
      </c>
      <c r="D12" s="261">
        <v>466219.31</v>
      </c>
      <c r="E12" s="262">
        <v>415054.71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466219.31</v>
      </c>
      <c r="E21" s="149">
        <f>E11</f>
        <v>415054.71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1237959.07</v>
      </c>
      <c r="E26" s="232">
        <f>D21</f>
        <v>466219.31</v>
      </c>
    </row>
    <row r="27" spans="2:6">
      <c r="B27" s="9" t="s">
        <v>17</v>
      </c>
      <c r="C27" s="10" t="s">
        <v>187</v>
      </c>
      <c r="D27" s="201">
        <v>-808719.61999999988</v>
      </c>
      <c r="E27" s="225">
        <f>E28-E32</f>
        <v>-7258.45</v>
      </c>
      <c r="F27" s="72"/>
    </row>
    <row r="28" spans="2:6">
      <c r="B28" s="9" t="s">
        <v>18</v>
      </c>
      <c r="C28" s="10" t="s">
        <v>19</v>
      </c>
      <c r="D28" s="201">
        <v>195123.82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195123.82</v>
      </c>
      <c r="E31" s="227"/>
      <c r="F31" s="72"/>
    </row>
    <row r="32" spans="2:6">
      <c r="B32" s="93" t="s">
        <v>23</v>
      </c>
      <c r="C32" s="11" t="s">
        <v>24</v>
      </c>
      <c r="D32" s="201">
        <v>1003843.44</v>
      </c>
      <c r="E32" s="226">
        <f>E33+E35+E37+E39</f>
        <v>7258.45</v>
      </c>
      <c r="F32" s="72"/>
    </row>
    <row r="33" spans="2:6">
      <c r="B33" s="181" t="s">
        <v>4</v>
      </c>
      <c r="C33" s="174" t="s">
        <v>25</v>
      </c>
      <c r="D33" s="202">
        <v>670188.93999999994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141.91999999999999</v>
      </c>
      <c r="E35" s="227">
        <v>47.15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13286.59</v>
      </c>
      <c r="E37" s="227">
        <v>7211.3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320225.99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36979.86</v>
      </c>
      <c r="E40" s="233">
        <v>-43906.15</v>
      </c>
    </row>
    <row r="41" spans="2:6" ht="13.5" thickBot="1">
      <c r="B41" s="100" t="s">
        <v>37</v>
      </c>
      <c r="C41" s="101" t="s">
        <v>38</v>
      </c>
      <c r="D41" s="205">
        <v>466219.31000000017</v>
      </c>
      <c r="E41" s="149">
        <f>E26+E27+E40</f>
        <v>415054.70999999996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6334.5396000000001</v>
      </c>
      <c r="E47" s="74">
        <v>2285.5007999999998</v>
      </c>
    </row>
    <row r="48" spans="2:6">
      <c r="B48" s="186" t="s">
        <v>6</v>
      </c>
      <c r="C48" s="187" t="s">
        <v>41</v>
      </c>
      <c r="D48" s="207">
        <v>2285.5007999999998</v>
      </c>
      <c r="E48" s="150">
        <v>2248.8877000000002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195.43</v>
      </c>
      <c r="E50" s="76">
        <v>203.99</v>
      </c>
    </row>
    <row r="51" spans="2:5">
      <c r="B51" s="184" t="s">
        <v>6</v>
      </c>
      <c r="C51" s="185" t="s">
        <v>190</v>
      </c>
      <c r="D51" s="209">
        <v>193.57</v>
      </c>
      <c r="E51" s="76">
        <v>181.8</v>
      </c>
    </row>
    <row r="52" spans="2:5">
      <c r="B52" s="184" t="s">
        <v>8</v>
      </c>
      <c r="C52" s="185" t="s">
        <v>191</v>
      </c>
      <c r="D52" s="209">
        <v>205.18</v>
      </c>
      <c r="E52" s="76">
        <v>209.03</v>
      </c>
    </row>
    <row r="53" spans="2:5" ht="14.25" customHeight="1" thickBot="1">
      <c r="B53" s="188" t="s">
        <v>9</v>
      </c>
      <c r="C53" s="189" t="s">
        <v>41</v>
      </c>
      <c r="D53" s="210">
        <v>203.99</v>
      </c>
      <c r="E53" s="234">
        <v>184.56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415054.71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415054.71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415054.71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415054.71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257</v>
      </c>
      <c r="C6" s="356"/>
      <c r="D6" s="356"/>
      <c r="E6" s="356"/>
    </row>
    <row r="7" spans="2:5" ht="14.25">
      <c r="B7" s="154"/>
      <c r="C7" s="154"/>
      <c r="D7" s="154"/>
      <c r="E7" s="15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5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37263.589999999997</v>
      </c>
      <c r="E11" s="258">
        <f>E12</f>
        <v>16298.56</v>
      </c>
    </row>
    <row r="12" spans="2:5">
      <c r="B12" s="173" t="s">
        <v>4</v>
      </c>
      <c r="C12" s="174" t="s">
        <v>5</v>
      </c>
      <c r="D12" s="261">
        <v>37263.589999999997</v>
      </c>
      <c r="E12" s="262">
        <v>16298.56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37263.589999999997</v>
      </c>
      <c r="E21" s="149">
        <f>E11</f>
        <v>16298.56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49309.93</v>
      </c>
      <c r="E26" s="232">
        <f>D21</f>
        <v>37263.589999999997</v>
      </c>
    </row>
    <row r="27" spans="2:6">
      <c r="B27" s="9" t="s">
        <v>17</v>
      </c>
      <c r="C27" s="10" t="s">
        <v>187</v>
      </c>
      <c r="D27" s="201">
        <v>-13374.619999999999</v>
      </c>
      <c r="E27" s="225">
        <f>E28-E32</f>
        <v>-21770.16</v>
      </c>
      <c r="F27" s="72"/>
    </row>
    <row r="28" spans="2:6">
      <c r="B28" s="9" t="s">
        <v>18</v>
      </c>
      <c r="C28" s="10" t="s">
        <v>19</v>
      </c>
      <c r="D28" s="201">
        <v>2104.5500000000002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2104.5500000000002</v>
      </c>
      <c r="E31" s="227"/>
      <c r="F31" s="72"/>
    </row>
    <row r="32" spans="2:6">
      <c r="B32" s="93" t="s">
        <v>23</v>
      </c>
      <c r="C32" s="11" t="s">
        <v>24</v>
      </c>
      <c r="D32" s="201">
        <v>15479.17</v>
      </c>
      <c r="E32" s="226">
        <f>E33+E35+E37+E39</f>
        <v>21770.16</v>
      </c>
      <c r="F32" s="72"/>
    </row>
    <row r="33" spans="2:6">
      <c r="B33" s="181" t="s">
        <v>4</v>
      </c>
      <c r="C33" s="174" t="s">
        <v>25</v>
      </c>
      <c r="D33" s="202">
        <v>14508.54</v>
      </c>
      <c r="E33" s="227">
        <v>19073.93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296.48</v>
      </c>
      <c r="E35" s="227">
        <v>220.87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674.15</v>
      </c>
      <c r="E37" s="227">
        <v>396.9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2078.46</v>
      </c>
      <c r="F39" s="72"/>
    </row>
    <row r="40" spans="2:6" ht="13.5" thickBot="1">
      <c r="B40" s="98" t="s">
        <v>35</v>
      </c>
      <c r="C40" s="99" t="s">
        <v>36</v>
      </c>
      <c r="D40" s="204">
        <v>1328.28</v>
      </c>
      <c r="E40" s="233">
        <v>805.13</v>
      </c>
    </row>
    <row r="41" spans="2:6" ht="13.5" thickBot="1">
      <c r="B41" s="100" t="s">
        <v>37</v>
      </c>
      <c r="C41" s="101" t="s">
        <v>38</v>
      </c>
      <c r="D41" s="205">
        <v>37263.589999999997</v>
      </c>
      <c r="E41" s="149">
        <f>E26+E27+E40</f>
        <v>16298.559999999996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314.096</v>
      </c>
      <c r="E47" s="74">
        <v>230.7629</v>
      </c>
    </row>
    <row r="48" spans="2:6">
      <c r="B48" s="186" t="s">
        <v>6</v>
      </c>
      <c r="C48" s="187" t="s">
        <v>41</v>
      </c>
      <c r="D48" s="207">
        <v>230.7629</v>
      </c>
      <c r="E48" s="150">
        <v>97.977500000000006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156.99</v>
      </c>
      <c r="E50" s="76">
        <v>161.47999999999999</v>
      </c>
    </row>
    <row r="51" spans="2:5">
      <c r="B51" s="184" t="s">
        <v>6</v>
      </c>
      <c r="C51" s="185" t="s">
        <v>190</v>
      </c>
      <c r="D51" s="209">
        <v>156.69</v>
      </c>
      <c r="E51" s="76">
        <v>161.02000000000001</v>
      </c>
    </row>
    <row r="52" spans="2:5">
      <c r="B52" s="184" t="s">
        <v>8</v>
      </c>
      <c r="C52" s="185" t="s">
        <v>191</v>
      </c>
      <c r="D52" s="209">
        <v>162.75</v>
      </c>
      <c r="E52" s="76">
        <v>166.35</v>
      </c>
    </row>
    <row r="53" spans="2:5" ht="13.5" thickBot="1">
      <c r="B53" s="188" t="s">
        <v>9</v>
      </c>
      <c r="C53" s="189" t="s">
        <v>41</v>
      </c>
      <c r="D53" s="210">
        <v>161.47999999999999</v>
      </c>
      <c r="E53" s="234">
        <v>166.35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16298.56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16298.56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16298.56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16298.56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258</v>
      </c>
      <c r="C6" s="356"/>
      <c r="D6" s="356"/>
      <c r="E6" s="356"/>
    </row>
    <row r="7" spans="2:5" ht="14.25">
      <c r="B7" s="154"/>
      <c r="C7" s="154"/>
      <c r="D7" s="154"/>
      <c r="E7" s="15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5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0</v>
      </c>
      <c r="E11" s="258">
        <f>E12</f>
        <v>0</v>
      </c>
    </row>
    <row r="12" spans="2:5">
      <c r="B12" s="173" t="s">
        <v>4</v>
      </c>
      <c r="C12" s="174" t="s">
        <v>5</v>
      </c>
      <c r="D12" s="261"/>
      <c r="E12" s="262"/>
    </row>
    <row r="13" spans="2:5">
      <c r="B13" s="173" t="s">
        <v>6</v>
      </c>
      <c r="C13" s="175" t="s">
        <v>7</v>
      </c>
      <c r="D13" s="248"/>
      <c r="E13" s="242"/>
    </row>
    <row r="14" spans="2:5">
      <c r="B14" s="173" t="s">
        <v>8</v>
      </c>
      <c r="C14" s="175" t="s">
        <v>10</v>
      </c>
      <c r="D14" s="248"/>
      <c r="E14" s="242"/>
    </row>
    <row r="15" spans="2:5">
      <c r="B15" s="173" t="s">
        <v>182</v>
      </c>
      <c r="C15" s="175" t="s">
        <v>11</v>
      </c>
      <c r="D15" s="248"/>
      <c r="E15" s="242"/>
    </row>
    <row r="16" spans="2:5">
      <c r="B16" s="176" t="s">
        <v>183</v>
      </c>
      <c r="C16" s="177" t="s">
        <v>12</v>
      </c>
      <c r="D16" s="249"/>
      <c r="E16" s="243"/>
    </row>
    <row r="17" spans="2:6">
      <c r="B17" s="9" t="s">
        <v>13</v>
      </c>
      <c r="C17" s="11" t="s">
        <v>65</v>
      </c>
      <c r="D17" s="250"/>
      <c r="E17" s="244"/>
    </row>
    <row r="18" spans="2:6">
      <c r="B18" s="173" t="s">
        <v>4</v>
      </c>
      <c r="C18" s="174" t="s">
        <v>11</v>
      </c>
      <c r="D18" s="248"/>
      <c r="E18" s="243"/>
    </row>
    <row r="19" spans="2:6" ht="15" customHeight="1">
      <c r="B19" s="173" t="s">
        <v>6</v>
      </c>
      <c r="C19" s="175" t="s">
        <v>184</v>
      </c>
      <c r="D19" s="248"/>
      <c r="E19" s="242"/>
    </row>
    <row r="20" spans="2:6" ht="13.5" thickBot="1">
      <c r="B20" s="178" t="s">
        <v>8</v>
      </c>
      <c r="C20" s="179" t="s">
        <v>14</v>
      </c>
      <c r="D20" s="251"/>
      <c r="E20" s="245"/>
    </row>
    <row r="21" spans="2:6" ht="13.5" thickBot="1">
      <c r="B21" s="364" t="s">
        <v>186</v>
      </c>
      <c r="C21" s="365"/>
      <c r="D21" s="252">
        <v>0</v>
      </c>
      <c r="E21" s="246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42282.02</v>
      </c>
      <c r="E26" s="232">
        <f>D21</f>
        <v>0</v>
      </c>
    </row>
    <row r="27" spans="2:6">
      <c r="B27" s="9" t="s">
        <v>17</v>
      </c>
      <c r="C27" s="10" t="s">
        <v>187</v>
      </c>
      <c r="D27" s="201">
        <v>-42430.729999999996</v>
      </c>
      <c r="E27" s="225">
        <f>E28-E32</f>
        <v>0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42430.729999999996</v>
      </c>
      <c r="E32" s="226">
        <f>E33+E35+E37+E39</f>
        <v>0</v>
      </c>
      <c r="F32" s="72"/>
    </row>
    <row r="33" spans="2:6">
      <c r="B33" s="181" t="s">
        <v>4</v>
      </c>
      <c r="C33" s="174" t="s">
        <v>25</v>
      </c>
      <c r="D33" s="202">
        <v>42385.71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45.02</v>
      </c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148.71</v>
      </c>
      <c r="E40" s="233">
        <v>0</v>
      </c>
    </row>
    <row r="41" spans="2:6" ht="13.5" thickBot="1">
      <c r="B41" s="100" t="s">
        <v>37</v>
      </c>
      <c r="C41" s="101" t="s">
        <v>38</v>
      </c>
      <c r="D41" s="205" t="s">
        <v>206</v>
      </c>
      <c r="E41" s="149" t="s">
        <v>206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675.97149999999999</v>
      </c>
      <c r="E47" s="74"/>
    </row>
    <row r="48" spans="2:6">
      <c r="B48" s="186" t="s">
        <v>6</v>
      </c>
      <c r="C48" s="187" t="s">
        <v>41</v>
      </c>
      <c r="D48" s="207"/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62.55</v>
      </c>
      <c r="E50" s="76"/>
    </row>
    <row r="51" spans="2:5">
      <c r="B51" s="184" t="s">
        <v>6</v>
      </c>
      <c r="C51" s="185" t="s">
        <v>190</v>
      </c>
      <c r="D51" s="209">
        <v>62.55</v>
      </c>
      <c r="E51" s="76"/>
    </row>
    <row r="52" spans="2:5">
      <c r="B52" s="184" t="s">
        <v>8</v>
      </c>
      <c r="C52" s="185" t="s">
        <v>191</v>
      </c>
      <c r="D52" s="209">
        <v>63.98</v>
      </c>
      <c r="E52" s="76"/>
    </row>
    <row r="53" spans="2:5" ht="13.5" thickBot="1">
      <c r="B53" s="188" t="s">
        <v>9</v>
      </c>
      <c r="C53" s="189" t="s">
        <v>41</v>
      </c>
      <c r="D53" s="210"/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148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94410.57</v>
      </c>
      <c r="E11" s="258">
        <f>E12</f>
        <v>31861.9</v>
      </c>
    </row>
    <row r="12" spans="2:5">
      <c r="B12" s="173" t="s">
        <v>4</v>
      </c>
      <c r="C12" s="174" t="s">
        <v>5</v>
      </c>
      <c r="D12" s="261">
        <v>94410.57</v>
      </c>
      <c r="E12" s="262">
        <f>31878.52-16.62</f>
        <v>31861.9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94410.57</v>
      </c>
      <c r="E21" s="149">
        <f>E11</f>
        <v>31861.9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211466.44</v>
      </c>
      <c r="E26" s="232">
        <f>D21</f>
        <v>94410.57</v>
      </c>
    </row>
    <row r="27" spans="2:6">
      <c r="B27" s="9" t="s">
        <v>17</v>
      </c>
      <c r="C27" s="10" t="s">
        <v>187</v>
      </c>
      <c r="D27" s="201">
        <v>-138023.85</v>
      </c>
      <c r="E27" s="225">
        <f>E28-E32</f>
        <v>-38894.370000000003</v>
      </c>
      <c r="F27" s="72"/>
    </row>
    <row r="28" spans="2:6">
      <c r="B28" s="9" t="s">
        <v>18</v>
      </c>
      <c r="C28" s="10" t="s">
        <v>19</v>
      </c>
      <c r="D28" s="201">
        <v>9290.02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>
        <v>0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9290.02</v>
      </c>
      <c r="E31" s="227"/>
      <c r="F31" s="72"/>
    </row>
    <row r="32" spans="2:6">
      <c r="B32" s="93" t="s">
        <v>23</v>
      </c>
      <c r="C32" s="11" t="s">
        <v>24</v>
      </c>
      <c r="D32" s="201">
        <v>147313.87</v>
      </c>
      <c r="E32" s="226">
        <f>E33+E35+E37+E39</f>
        <v>38894.370000000003</v>
      </c>
      <c r="F32" s="72"/>
    </row>
    <row r="33" spans="2:6">
      <c r="B33" s="181" t="s">
        <v>4</v>
      </c>
      <c r="C33" s="174" t="s">
        <v>25</v>
      </c>
      <c r="D33" s="202">
        <v>103158.01</v>
      </c>
      <c r="E33" s="227">
        <f>37600.48-6.89</f>
        <v>37593.590000000004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139.28</v>
      </c>
      <c r="E35" s="227">
        <v>45.68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2812.48</v>
      </c>
      <c r="E37" s="227">
        <v>1255.0999999999999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41204.1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20967.98</v>
      </c>
      <c r="E40" s="233">
        <v>-23654.3</v>
      </c>
    </row>
    <row r="41" spans="2:6" ht="13.5" thickBot="1">
      <c r="B41" s="100" t="s">
        <v>37</v>
      </c>
      <c r="C41" s="101" t="s">
        <v>38</v>
      </c>
      <c r="D41" s="205">
        <v>94410.569999999992</v>
      </c>
      <c r="E41" s="149">
        <f>E26+E27+E40</f>
        <v>31861.900000000005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1201.0362</v>
      </c>
      <c r="E47" s="74">
        <v>494.01166999999998</v>
      </c>
    </row>
    <row r="48" spans="2:6">
      <c r="B48" s="186" t="s">
        <v>6</v>
      </c>
      <c r="C48" s="187" t="s">
        <v>41</v>
      </c>
      <c r="D48" s="207">
        <v>494.01166999999998</v>
      </c>
      <c r="E48" s="150">
        <v>235.82192000000001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176.07</v>
      </c>
      <c r="E50" s="76">
        <v>191.11</v>
      </c>
    </row>
    <row r="51" spans="2:5">
      <c r="B51" s="184" t="s">
        <v>6</v>
      </c>
      <c r="C51" s="185" t="s">
        <v>190</v>
      </c>
      <c r="D51" s="209">
        <v>176.07</v>
      </c>
      <c r="E51" s="76">
        <v>134.63</v>
      </c>
    </row>
    <row r="52" spans="2:5">
      <c r="B52" s="184" t="s">
        <v>8</v>
      </c>
      <c r="C52" s="185" t="s">
        <v>191</v>
      </c>
      <c r="D52" s="209">
        <v>202.18</v>
      </c>
      <c r="E52" s="76">
        <v>196.99</v>
      </c>
    </row>
    <row r="53" spans="2:5" ht="14.25" customHeight="1" thickBot="1">
      <c r="B53" s="188" t="s">
        <v>9</v>
      </c>
      <c r="C53" s="189" t="s">
        <v>41</v>
      </c>
      <c r="D53" s="210">
        <v>191.11</v>
      </c>
      <c r="E53" s="234">
        <v>135.11000000000001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31861.9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31861.9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31861.9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31861.9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152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38896.86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38896.86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38896.86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394498.52</v>
      </c>
      <c r="E26" s="232">
        <f>D21</f>
        <v>38896.86</v>
      </c>
    </row>
    <row r="27" spans="2:6">
      <c r="B27" s="9" t="s">
        <v>17</v>
      </c>
      <c r="C27" s="10" t="s">
        <v>187</v>
      </c>
      <c r="D27" s="201">
        <v>-483229.79000000004</v>
      </c>
      <c r="E27" s="225">
        <f>E28-E32</f>
        <v>-31750.76</v>
      </c>
      <c r="F27" s="72"/>
    </row>
    <row r="28" spans="2:6">
      <c r="B28" s="9" t="s">
        <v>18</v>
      </c>
      <c r="C28" s="10" t="s">
        <v>19</v>
      </c>
      <c r="D28" s="201">
        <v>68645.86</v>
      </c>
      <c r="E28" s="226">
        <f>E29+E30+E31</f>
        <v>20524.02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68645.86</v>
      </c>
      <c r="E31" s="227">
        <v>20524.02</v>
      </c>
      <c r="F31" s="72"/>
    </row>
    <row r="32" spans="2:6">
      <c r="B32" s="93" t="s">
        <v>23</v>
      </c>
      <c r="C32" s="11" t="s">
        <v>24</v>
      </c>
      <c r="D32" s="201">
        <v>551875.65</v>
      </c>
      <c r="E32" s="226">
        <f>E33+E35+E37+E39</f>
        <v>52274.78</v>
      </c>
      <c r="F32" s="72"/>
    </row>
    <row r="33" spans="2:6">
      <c r="B33" s="181" t="s">
        <v>4</v>
      </c>
      <c r="C33" s="174" t="s">
        <v>25</v>
      </c>
      <c r="D33" s="202">
        <v>65867.490000000005</v>
      </c>
      <c r="E33" s="227">
        <v>5929.13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202.07</v>
      </c>
      <c r="E35" s="227">
        <v>56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3618.11</v>
      </c>
      <c r="E37" s="227">
        <v>256.18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482187.98</v>
      </c>
      <c r="E39" s="228">
        <v>46033.47</v>
      </c>
      <c r="F39" s="72"/>
    </row>
    <row r="40" spans="2:6" ht="13.5" thickBot="1">
      <c r="B40" s="98" t="s">
        <v>35</v>
      </c>
      <c r="C40" s="99" t="s">
        <v>36</v>
      </c>
      <c r="D40" s="204">
        <v>127628.13</v>
      </c>
      <c r="E40" s="233">
        <v>-7146.1</v>
      </c>
    </row>
    <row r="41" spans="2:6" ht="13.5" thickBot="1">
      <c r="B41" s="100" t="s">
        <v>37</v>
      </c>
      <c r="C41" s="101" t="s">
        <v>38</v>
      </c>
      <c r="D41" s="205">
        <v>38896.859999999986</v>
      </c>
      <c r="E41" s="149">
        <f>E26+E27+E40</f>
        <v>0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6918.5991000000004</v>
      </c>
      <c r="E47" s="74">
        <v>443.42070000000001</v>
      </c>
    </row>
    <row r="48" spans="2:6">
      <c r="B48" s="186" t="s">
        <v>6</v>
      </c>
      <c r="C48" s="187" t="s">
        <v>41</v>
      </c>
      <c r="D48" s="207">
        <v>443.42070000000001</v>
      </c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57.02</v>
      </c>
      <c r="E50" s="76">
        <v>87.72</v>
      </c>
    </row>
    <row r="51" spans="2:5">
      <c r="B51" s="184" t="s">
        <v>6</v>
      </c>
      <c r="C51" s="185" t="s">
        <v>190</v>
      </c>
      <c r="D51" s="209">
        <v>57.02</v>
      </c>
      <c r="E51" s="76">
        <v>61.48</v>
      </c>
    </row>
    <row r="52" spans="2:5">
      <c r="B52" s="184" t="s">
        <v>8</v>
      </c>
      <c r="C52" s="185" t="s">
        <v>191</v>
      </c>
      <c r="D52" s="209">
        <v>96.73</v>
      </c>
      <c r="E52" s="76">
        <v>100.39</v>
      </c>
    </row>
    <row r="53" spans="2:5" ht="13.5" customHeight="1" thickBot="1">
      <c r="B53" s="188" t="s">
        <v>9</v>
      </c>
      <c r="C53" s="189" t="s">
        <v>41</v>
      </c>
      <c r="D53" s="210">
        <v>87.72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151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475426.36</v>
      </c>
      <c r="E11" s="258">
        <f>E12</f>
        <v>225660.9</v>
      </c>
    </row>
    <row r="12" spans="2:5">
      <c r="B12" s="173" t="s">
        <v>4</v>
      </c>
      <c r="C12" s="174" t="s">
        <v>5</v>
      </c>
      <c r="D12" s="261">
        <v>475426.36</v>
      </c>
      <c r="E12" s="262">
        <f>225703.04-42.14</f>
        <v>225660.9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475426.36</v>
      </c>
      <c r="E21" s="149">
        <f>E11-E17</f>
        <v>225660.9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940058.48</v>
      </c>
      <c r="E26" s="232">
        <f>D21</f>
        <v>475426.36</v>
      </c>
    </row>
    <row r="27" spans="2:6">
      <c r="B27" s="9" t="s">
        <v>17</v>
      </c>
      <c r="C27" s="10" t="s">
        <v>187</v>
      </c>
      <c r="D27" s="201">
        <v>-484843.76</v>
      </c>
      <c r="E27" s="225">
        <f>E28-E32</f>
        <v>-257540.11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484843.76</v>
      </c>
      <c r="E32" s="226">
        <f>E33+E35+E37+E39</f>
        <v>257540.11</v>
      </c>
      <c r="F32" s="72"/>
    </row>
    <row r="33" spans="2:6">
      <c r="B33" s="181" t="s">
        <v>4</v>
      </c>
      <c r="C33" s="174" t="s">
        <v>25</v>
      </c>
      <c r="D33" s="202">
        <v>412852.83</v>
      </c>
      <c r="E33" s="227">
        <f>250835.8+9.06</f>
        <v>250844.86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331.88</v>
      </c>
      <c r="E35" s="227">
        <v>186.5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16365.92</v>
      </c>
      <c r="E37" s="227">
        <v>6508.75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55293.13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20211.64</v>
      </c>
      <c r="E40" s="233">
        <v>7774.65</v>
      </c>
    </row>
    <row r="41" spans="2:6" ht="13.5" thickBot="1">
      <c r="B41" s="100" t="s">
        <v>37</v>
      </c>
      <c r="C41" s="101" t="s">
        <v>38</v>
      </c>
      <c r="D41" s="205">
        <v>475426.36</v>
      </c>
      <c r="E41" s="149">
        <f>E26+E27+E40</f>
        <v>225660.9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6578.8962000000001</v>
      </c>
      <c r="E47" s="74">
        <v>3249.4454000000001</v>
      </c>
    </row>
    <row r="48" spans="2:6">
      <c r="B48" s="186" t="s">
        <v>6</v>
      </c>
      <c r="C48" s="187" t="s">
        <v>41</v>
      </c>
      <c r="D48" s="207">
        <v>3249.4454000000001</v>
      </c>
      <c r="E48" s="150">
        <v>1509.5384309999999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142.88999999999999</v>
      </c>
      <c r="E50" s="76">
        <v>146.31</v>
      </c>
    </row>
    <row r="51" spans="2:5">
      <c r="B51" s="184" t="s">
        <v>6</v>
      </c>
      <c r="C51" s="185" t="s">
        <v>190</v>
      </c>
      <c r="D51" s="209">
        <v>142.87</v>
      </c>
      <c r="E51" s="76">
        <v>146.31</v>
      </c>
    </row>
    <row r="52" spans="2:5">
      <c r="B52" s="184" t="s">
        <v>8</v>
      </c>
      <c r="C52" s="185" t="s">
        <v>191</v>
      </c>
      <c r="D52" s="209">
        <v>146.31</v>
      </c>
      <c r="E52" s="76">
        <v>149.49</v>
      </c>
    </row>
    <row r="53" spans="2:5" ht="13.5" customHeight="1" thickBot="1">
      <c r="B53" s="188" t="s">
        <v>9</v>
      </c>
      <c r="C53" s="189" t="s">
        <v>41</v>
      </c>
      <c r="D53" s="210">
        <v>146.31</v>
      </c>
      <c r="E53" s="234">
        <v>149.49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225660.9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225660.9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225660.9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225660.9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153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11160.73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11160.73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11160.73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19603.189999999999</v>
      </c>
      <c r="E26" s="232">
        <f>D21</f>
        <v>11160.73</v>
      </c>
    </row>
    <row r="27" spans="2:6">
      <c r="B27" s="9" t="s">
        <v>17</v>
      </c>
      <c r="C27" s="10" t="s">
        <v>187</v>
      </c>
      <c r="D27" s="201">
        <v>-8310.14</v>
      </c>
      <c r="E27" s="225">
        <f>E28-E32</f>
        <v>-11280.8</v>
      </c>
      <c r="F27" s="72"/>
    </row>
    <row r="28" spans="2:6">
      <c r="B28" s="9" t="s">
        <v>18</v>
      </c>
      <c r="C28" s="10" t="s">
        <v>19</v>
      </c>
      <c r="D28" s="201">
        <v>39193.22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39193.22</v>
      </c>
      <c r="E31" s="227"/>
      <c r="F31" s="72"/>
    </row>
    <row r="32" spans="2:6">
      <c r="B32" s="93" t="s">
        <v>23</v>
      </c>
      <c r="C32" s="11" t="s">
        <v>24</v>
      </c>
      <c r="D32" s="201">
        <v>47503.360000000001</v>
      </c>
      <c r="E32" s="226">
        <f>E33+E35+E37+E39</f>
        <v>11280.8</v>
      </c>
      <c r="F32" s="72"/>
    </row>
    <row r="33" spans="2:6">
      <c r="B33" s="181" t="s">
        <v>4</v>
      </c>
      <c r="C33" s="174" t="s">
        <v>25</v>
      </c>
      <c r="D33" s="202"/>
      <c r="E33" s="227">
        <v>2434.41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65.73</v>
      </c>
      <c r="E35" s="227">
        <v>16.32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476.39</v>
      </c>
      <c r="E37" s="227">
        <v>157.32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46961.24</v>
      </c>
      <c r="E39" s="228">
        <v>8672.75</v>
      </c>
      <c r="F39" s="72"/>
    </row>
    <row r="40" spans="2:6" ht="13.5" thickBot="1">
      <c r="B40" s="98" t="s">
        <v>35</v>
      </c>
      <c r="C40" s="99" t="s">
        <v>36</v>
      </c>
      <c r="D40" s="204">
        <v>-132.32</v>
      </c>
      <c r="E40" s="233">
        <v>120.07</v>
      </c>
    </row>
    <row r="41" spans="2:6" ht="13.5" thickBot="1">
      <c r="B41" s="100" t="s">
        <v>37</v>
      </c>
      <c r="C41" s="101" t="s">
        <v>38</v>
      </c>
      <c r="D41" s="205">
        <v>11160.73</v>
      </c>
      <c r="E41" s="149">
        <f>E26+E27+E40</f>
        <v>2.8421709430404007E-13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231.57929999999999</v>
      </c>
      <c r="E47" s="74">
        <v>129.83629999999999</v>
      </c>
    </row>
    <row r="48" spans="2:6">
      <c r="B48" s="186" t="s">
        <v>6</v>
      </c>
      <c r="C48" s="187" t="s">
        <v>41</v>
      </c>
      <c r="D48" s="207">
        <v>129.83629999999999</v>
      </c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84.65</v>
      </c>
      <c r="E50" s="76">
        <v>85.96</v>
      </c>
    </row>
    <row r="51" spans="2:5">
      <c r="B51" s="184" t="s">
        <v>6</v>
      </c>
      <c r="C51" s="185" t="s">
        <v>190</v>
      </c>
      <c r="D51" s="209">
        <v>76.13</v>
      </c>
      <c r="E51" s="76">
        <v>79.37</v>
      </c>
    </row>
    <row r="52" spans="2:5">
      <c r="B52" s="184" t="s">
        <v>8</v>
      </c>
      <c r="C52" s="185" t="s">
        <v>191</v>
      </c>
      <c r="D52" s="209">
        <v>88.33</v>
      </c>
      <c r="E52" s="76">
        <v>93.26</v>
      </c>
    </row>
    <row r="53" spans="2:5" ht="12.75" customHeight="1" thickBot="1">
      <c r="B53" s="188" t="s">
        <v>9</v>
      </c>
      <c r="C53" s="189" t="s">
        <v>41</v>
      </c>
      <c r="D53" s="210">
        <v>85.96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G81"/>
  <sheetViews>
    <sheetView zoomScale="80" zoomScaleNormal="80" workbookViewId="0">
      <selection activeCell="J34" sqref="J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6"/>
      <c r="C4" s="86"/>
      <c r="D4" s="86"/>
      <c r="E4" s="86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197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7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22982849.350000001</v>
      </c>
      <c r="E11" s="258">
        <f>E12+E13+E14</f>
        <v>18124183.550000001</v>
      </c>
    </row>
    <row r="12" spans="2:7">
      <c r="B12" s="107" t="s">
        <v>4</v>
      </c>
      <c r="C12" s="6" t="s">
        <v>5</v>
      </c>
      <c r="D12" s="261">
        <v>22970103.440000001</v>
      </c>
      <c r="E12" s="262">
        <f>18096585.26-2815.86</f>
        <v>18093769.400000002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>
        <v>12745.91</v>
      </c>
      <c r="E14" s="262">
        <f>E15</f>
        <v>30414.15</v>
      </c>
    </row>
    <row r="15" spans="2:7">
      <c r="B15" s="107" t="s">
        <v>182</v>
      </c>
      <c r="C15" s="69" t="s">
        <v>11</v>
      </c>
      <c r="D15" s="261">
        <v>12745.91</v>
      </c>
      <c r="E15" s="262">
        <v>30414.15</v>
      </c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34633.86</v>
      </c>
      <c r="E17" s="266">
        <f>SUM(E18:E20)</f>
        <v>55746.18</v>
      </c>
    </row>
    <row r="18" spans="2:6">
      <c r="B18" s="107" t="s">
        <v>4</v>
      </c>
      <c r="C18" s="6" t="s">
        <v>11</v>
      </c>
      <c r="D18" s="261">
        <v>34633.86</v>
      </c>
      <c r="E18" s="306">
        <v>55746.18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22948215.490000002</v>
      </c>
      <c r="E21" s="149">
        <f>E11-E17</f>
        <v>18068437.370000001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7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24280782.77</v>
      </c>
      <c r="E26" s="232">
        <f>D21</f>
        <v>22948215.490000002</v>
      </c>
    </row>
    <row r="27" spans="2:6">
      <c r="B27" s="9" t="s">
        <v>17</v>
      </c>
      <c r="C27" s="10" t="s">
        <v>187</v>
      </c>
      <c r="D27" s="201">
        <v>-3732739.8599999994</v>
      </c>
      <c r="E27" s="225">
        <f>E28-E32</f>
        <v>-3317317.9500000011</v>
      </c>
      <c r="F27" s="72"/>
    </row>
    <row r="28" spans="2:6">
      <c r="B28" s="9" t="s">
        <v>18</v>
      </c>
      <c r="C28" s="10" t="s">
        <v>19</v>
      </c>
      <c r="D28" s="201">
        <v>2881228.34</v>
      </c>
      <c r="E28" s="226">
        <v>2087020.0099999998</v>
      </c>
      <c r="F28" s="72"/>
    </row>
    <row r="29" spans="2:6">
      <c r="B29" s="105" t="s">
        <v>4</v>
      </c>
      <c r="C29" s="6" t="s">
        <v>20</v>
      </c>
      <c r="D29" s="202">
        <v>1515013.91</v>
      </c>
      <c r="E29" s="227">
        <v>1408508.15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1366214.43</v>
      </c>
      <c r="E31" s="227">
        <v>678511.86</v>
      </c>
      <c r="F31" s="72"/>
    </row>
    <row r="32" spans="2:6">
      <c r="B32" s="93" t="s">
        <v>23</v>
      </c>
      <c r="C32" s="11" t="s">
        <v>24</v>
      </c>
      <c r="D32" s="201">
        <v>6613968.1999999993</v>
      </c>
      <c r="E32" s="226">
        <f>SUM(E33:E39)</f>
        <v>5404337.9600000009</v>
      </c>
      <c r="F32" s="72"/>
    </row>
    <row r="33" spans="2:6">
      <c r="B33" s="105" t="s">
        <v>4</v>
      </c>
      <c r="C33" s="6" t="s">
        <v>25</v>
      </c>
      <c r="D33" s="202">
        <v>4322767.6100000003</v>
      </c>
      <c r="E33" s="227">
        <f>4544259.22+649.45</f>
        <v>4544908.67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130588.26999999999</v>
      </c>
      <c r="E35" s="227">
        <v>118381.48999999999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408385.06</v>
      </c>
      <c r="E37" s="227">
        <v>343051.07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1752227.26</v>
      </c>
      <c r="E39" s="228">
        <v>397996.73</v>
      </c>
      <c r="F39" s="72"/>
    </row>
    <row r="40" spans="2:6" ht="13.5" thickBot="1">
      <c r="B40" s="98" t="s">
        <v>35</v>
      </c>
      <c r="C40" s="99" t="s">
        <v>36</v>
      </c>
      <c r="D40" s="204">
        <v>2400172.58</v>
      </c>
      <c r="E40" s="233">
        <v>-1562460.17</v>
      </c>
    </row>
    <row r="41" spans="2:6" ht="13.5" thickBot="1">
      <c r="B41" s="100" t="s">
        <v>37</v>
      </c>
      <c r="C41" s="101" t="s">
        <v>38</v>
      </c>
      <c r="D41" s="205">
        <v>22948215.490000002</v>
      </c>
      <c r="E41" s="149">
        <f>E26+E27+E40</f>
        <v>18068437.369999997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87">
        <v>178612.20329999999</v>
      </c>
      <c r="E47" s="74">
        <v>152899.14616</v>
      </c>
    </row>
    <row r="48" spans="2:6">
      <c r="B48" s="124" t="s">
        <v>6</v>
      </c>
      <c r="C48" s="22" t="s">
        <v>41</v>
      </c>
      <c r="D48" s="287">
        <v>152899.14616</v>
      </c>
      <c r="E48" s="302">
        <v>130373.15091</v>
      </c>
    </row>
    <row r="49" spans="2:5">
      <c r="B49" s="121" t="s">
        <v>23</v>
      </c>
      <c r="C49" s="125" t="s">
        <v>189</v>
      </c>
      <c r="D49" s="317"/>
      <c r="E49" s="126"/>
    </row>
    <row r="50" spans="2:5">
      <c r="B50" s="103" t="s">
        <v>4</v>
      </c>
      <c r="C50" s="15" t="s">
        <v>40</v>
      </c>
      <c r="D50" s="287">
        <v>135.94134284689099</v>
      </c>
      <c r="E50" s="74">
        <v>150.08727037164601</v>
      </c>
    </row>
    <row r="51" spans="2:5">
      <c r="B51" s="103" t="s">
        <v>6</v>
      </c>
      <c r="C51" s="15" t="s">
        <v>190</v>
      </c>
      <c r="D51" s="287">
        <v>135.94130000000001</v>
      </c>
      <c r="E51" s="74">
        <v>137.8169</v>
      </c>
    </row>
    <row r="52" spans="2:5" ht="12.75" customHeight="1">
      <c r="B52" s="103" t="s">
        <v>8</v>
      </c>
      <c r="C52" s="15" t="s">
        <v>191</v>
      </c>
      <c r="D52" s="287">
        <v>150.30279999999999</v>
      </c>
      <c r="E52" s="74">
        <v>154.6645</v>
      </c>
    </row>
    <row r="53" spans="2:5" ht="13.5" thickBot="1">
      <c r="B53" s="104" t="s">
        <v>9</v>
      </c>
      <c r="C53" s="17" t="s">
        <v>41</v>
      </c>
      <c r="D53" s="210">
        <v>150.08727037164601</v>
      </c>
      <c r="E53" s="234">
        <v>138.590171703446</v>
      </c>
    </row>
    <row r="54" spans="2:5">
      <c r="B54" s="110"/>
      <c r="C54" s="111"/>
      <c r="D54" s="112"/>
      <c r="E54" s="199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18093769.399999999</v>
      </c>
      <c r="E58" s="32">
        <f>D58/E21</f>
        <v>1.001402004472288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16884180.9-2815.86</f>
        <v>16881365.039999999</v>
      </c>
      <c r="E64" s="82">
        <f>D64/E21</f>
        <v>0.93430132857139259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1212404.3600000001</v>
      </c>
      <c r="E69" s="80">
        <f>D69/E21</f>
        <v>6.7100675900895579E-2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30414.15</v>
      </c>
      <c r="E72" s="120">
        <f>D72/E21</f>
        <v>1.6832750601055435E-3</v>
      </c>
    </row>
    <row r="73" spans="2:5">
      <c r="B73" s="23" t="s">
        <v>62</v>
      </c>
      <c r="C73" s="24" t="s">
        <v>65</v>
      </c>
      <c r="D73" s="25">
        <f>E17</f>
        <v>55746.18</v>
      </c>
      <c r="E73" s="26">
        <f>D73/E21</f>
        <v>3.0852795323937855E-3</v>
      </c>
    </row>
    <row r="74" spans="2:5">
      <c r="B74" s="121" t="s">
        <v>64</v>
      </c>
      <c r="C74" s="122" t="s">
        <v>66</v>
      </c>
      <c r="D74" s="123">
        <f>D58+D71+D72-D73</f>
        <v>18068437.369999997</v>
      </c>
      <c r="E74" s="67">
        <f>E58+E72-E73</f>
        <v>0.99999999999999967</v>
      </c>
    </row>
    <row r="75" spans="2:5">
      <c r="B75" s="14" t="s">
        <v>4</v>
      </c>
      <c r="C75" s="15" t="s">
        <v>67</v>
      </c>
      <c r="D75" s="79">
        <f>D74</f>
        <v>18068437.369999997</v>
      </c>
      <c r="E75" s="80">
        <f>E74</f>
        <v>0.99999999999999967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19"/>
      <c r="E78" s="219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154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20215.990000000002</v>
      </c>
      <c r="E11" s="258">
        <f>E12</f>
        <v>15201.67</v>
      </c>
    </row>
    <row r="12" spans="2:5">
      <c r="B12" s="173" t="s">
        <v>4</v>
      </c>
      <c r="C12" s="174" t="s">
        <v>5</v>
      </c>
      <c r="D12" s="261">
        <v>20215.990000000002</v>
      </c>
      <c r="E12" s="262">
        <v>15201.67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20215.990000000002</v>
      </c>
      <c r="E21" s="149">
        <f>E11</f>
        <v>15201.67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30187.59</v>
      </c>
      <c r="E26" s="232">
        <f>D21</f>
        <v>20215.990000000002</v>
      </c>
    </row>
    <row r="27" spans="2:6">
      <c r="B27" s="9" t="s">
        <v>17</v>
      </c>
      <c r="C27" s="10" t="s">
        <v>187</v>
      </c>
      <c r="D27" s="201">
        <v>-11465.400000000001</v>
      </c>
      <c r="E27" s="225">
        <f>E28-E32</f>
        <v>-836.97</v>
      </c>
      <c r="F27" s="72"/>
    </row>
    <row r="28" spans="2:6">
      <c r="B28" s="9" t="s">
        <v>18</v>
      </c>
      <c r="C28" s="10" t="s">
        <v>19</v>
      </c>
      <c r="D28" s="201">
        <v>500.07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500.07</v>
      </c>
      <c r="E31" s="227"/>
      <c r="F31" s="72"/>
    </row>
    <row r="32" spans="2:6">
      <c r="B32" s="93" t="s">
        <v>23</v>
      </c>
      <c r="C32" s="11" t="s">
        <v>24</v>
      </c>
      <c r="D32" s="201">
        <v>11965.470000000001</v>
      </c>
      <c r="E32" s="226">
        <f>E33+E35+E37+E39</f>
        <v>836.97</v>
      </c>
      <c r="F32" s="72"/>
    </row>
    <row r="33" spans="2:6">
      <c r="B33" s="181" t="s">
        <v>4</v>
      </c>
      <c r="C33" s="174" t="s">
        <v>25</v>
      </c>
      <c r="D33" s="202">
        <v>11341.2</v>
      </c>
      <c r="E33" s="227">
        <v>461.74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11.74</v>
      </c>
      <c r="E35" s="227">
        <v>7.3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612.53</v>
      </c>
      <c r="E37" s="227">
        <v>367.93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1493.8</v>
      </c>
      <c r="E40" s="233">
        <v>-4177.3500000000004</v>
      </c>
    </row>
    <row r="41" spans="2:6" ht="13.5" thickBot="1">
      <c r="B41" s="100" t="s">
        <v>37</v>
      </c>
      <c r="C41" s="101" t="s">
        <v>38</v>
      </c>
      <c r="D41" s="205">
        <v>20215.989999999998</v>
      </c>
      <c r="E41" s="149">
        <f>E26+E27+E40</f>
        <v>15201.67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200.11660000000001</v>
      </c>
      <c r="E47" s="74">
        <v>127.1846</v>
      </c>
    </row>
    <row r="48" spans="2:6">
      <c r="B48" s="186" t="s">
        <v>6</v>
      </c>
      <c r="C48" s="187" t="s">
        <v>41</v>
      </c>
      <c r="D48" s="207">
        <v>127.1846</v>
      </c>
      <c r="E48" s="150">
        <v>121.5453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150.85</v>
      </c>
      <c r="E50" s="76">
        <v>158.94999999999999</v>
      </c>
    </row>
    <row r="51" spans="2:5">
      <c r="B51" s="184" t="s">
        <v>6</v>
      </c>
      <c r="C51" s="185" t="s">
        <v>190</v>
      </c>
      <c r="D51" s="209">
        <v>150.85</v>
      </c>
      <c r="E51" s="76">
        <v>125.07</v>
      </c>
    </row>
    <row r="52" spans="2:5">
      <c r="B52" s="184" t="s">
        <v>8</v>
      </c>
      <c r="C52" s="185" t="s">
        <v>191</v>
      </c>
      <c r="D52" s="209">
        <v>162.72</v>
      </c>
      <c r="E52" s="76">
        <v>160.91999999999999</v>
      </c>
    </row>
    <row r="53" spans="2:5" ht="13.5" customHeight="1" thickBot="1">
      <c r="B53" s="188" t="s">
        <v>9</v>
      </c>
      <c r="C53" s="189" t="s">
        <v>41</v>
      </c>
      <c r="D53" s="210">
        <v>158.94999999999999</v>
      </c>
      <c r="E53" s="234">
        <v>125.07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15201.67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15201.67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15201.67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15201.67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149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33298.449999999997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33298.449999999997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33298.449999999997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3404.69</v>
      </c>
      <c r="E26" s="232">
        <f>D21</f>
        <v>33298.449999999997</v>
      </c>
    </row>
    <row r="27" spans="2:6">
      <c r="B27" s="9" t="s">
        <v>17</v>
      </c>
      <c r="C27" s="10" t="s">
        <v>187</v>
      </c>
      <c r="D27" s="201">
        <v>37319.47</v>
      </c>
      <c r="E27" s="225">
        <f>E28-E32</f>
        <v>-37786.670000000013</v>
      </c>
      <c r="F27" s="72"/>
    </row>
    <row r="28" spans="2:6">
      <c r="B28" s="9" t="s">
        <v>18</v>
      </c>
      <c r="C28" s="10" t="s">
        <v>19</v>
      </c>
      <c r="D28" s="201">
        <v>52728.38</v>
      </c>
      <c r="E28" s="226">
        <f>E29+E30+E31</f>
        <v>84516.14</v>
      </c>
      <c r="F28" s="72"/>
    </row>
    <row r="29" spans="2:6">
      <c r="B29" s="181" t="s">
        <v>4</v>
      </c>
      <c r="C29" s="174" t="s">
        <v>20</v>
      </c>
      <c r="D29" s="202">
        <v>0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52728.38</v>
      </c>
      <c r="E31" s="227">
        <v>84516.14</v>
      </c>
      <c r="F31" s="72"/>
    </row>
    <row r="32" spans="2:6">
      <c r="B32" s="93" t="s">
        <v>23</v>
      </c>
      <c r="C32" s="11" t="s">
        <v>24</v>
      </c>
      <c r="D32" s="201">
        <v>15408.909999999998</v>
      </c>
      <c r="E32" s="226">
        <f>E33+E35+E37+E39</f>
        <v>122302.81000000001</v>
      </c>
      <c r="F32" s="72"/>
    </row>
    <row r="33" spans="2:6">
      <c r="B33" s="181" t="s">
        <v>4</v>
      </c>
      <c r="C33" s="174" t="s">
        <v>25</v>
      </c>
      <c r="D33" s="202">
        <v>11700.96</v>
      </c>
      <c r="E33" s="227">
        <v>16653.490000000002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131.88</v>
      </c>
      <c r="E35" s="227">
        <v>145.72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573.30999999999995</v>
      </c>
      <c r="E37" s="227">
        <v>661.14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3002.76</v>
      </c>
      <c r="E39" s="228">
        <v>104842.46</v>
      </c>
      <c r="F39" s="72"/>
    </row>
    <row r="40" spans="2:6" ht="13.5" thickBot="1">
      <c r="B40" s="98" t="s">
        <v>35</v>
      </c>
      <c r="C40" s="99" t="s">
        <v>36</v>
      </c>
      <c r="D40" s="204">
        <v>-7425.71</v>
      </c>
      <c r="E40" s="233">
        <v>4488.22</v>
      </c>
    </row>
    <row r="41" spans="2:6" ht="13.5" thickBot="1">
      <c r="B41" s="100" t="s">
        <v>37</v>
      </c>
      <c r="C41" s="101" t="s">
        <v>38</v>
      </c>
      <c r="D41" s="205">
        <v>33298.450000000004</v>
      </c>
      <c r="E41" s="149">
        <f>E26+E27+E40</f>
        <v>-1.546140993013978E-11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39.502200000000002</v>
      </c>
      <c r="E47" s="74">
        <v>511.57549999999998</v>
      </c>
    </row>
    <row r="48" spans="2:6">
      <c r="B48" s="186" t="s">
        <v>6</v>
      </c>
      <c r="C48" s="187" t="s">
        <v>41</v>
      </c>
      <c r="D48" s="207">
        <v>511.57549999999998</v>
      </c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86.19</v>
      </c>
      <c r="E50" s="76">
        <v>65.09</v>
      </c>
    </row>
    <row r="51" spans="2:5">
      <c r="B51" s="184" t="s">
        <v>6</v>
      </c>
      <c r="C51" s="185" t="s">
        <v>190</v>
      </c>
      <c r="D51" s="209">
        <v>62.29</v>
      </c>
      <c r="E51" s="76">
        <v>60.45</v>
      </c>
    </row>
    <row r="52" spans="2:5">
      <c r="B52" s="184" t="s">
        <v>8</v>
      </c>
      <c r="C52" s="185" t="s">
        <v>191</v>
      </c>
      <c r="D52" s="209">
        <v>85.75</v>
      </c>
      <c r="E52" s="76">
        <v>74.44</v>
      </c>
    </row>
    <row r="53" spans="2:5" ht="13.5" customHeight="1" thickBot="1">
      <c r="B53" s="188" t="s">
        <v>9</v>
      </c>
      <c r="C53" s="189" t="s">
        <v>41</v>
      </c>
      <c r="D53" s="210">
        <v>65.09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150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311762.11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311762.11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311762.11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351840.47</v>
      </c>
      <c r="E26" s="232">
        <f>D21</f>
        <v>311762.11</v>
      </c>
    </row>
    <row r="27" spans="2:6">
      <c r="B27" s="9" t="s">
        <v>17</v>
      </c>
      <c r="C27" s="10" t="s">
        <v>187</v>
      </c>
      <c r="D27" s="201">
        <v>-33418.710000000006</v>
      </c>
      <c r="E27" s="225">
        <f>E28-E32</f>
        <v>-308843.92000000004</v>
      </c>
      <c r="F27" s="72"/>
    </row>
    <row r="28" spans="2:6">
      <c r="B28" s="9" t="s">
        <v>18</v>
      </c>
      <c r="C28" s="10" t="s">
        <v>19</v>
      </c>
      <c r="D28" s="201">
        <v>82462.990000000005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82462.990000000005</v>
      </c>
      <c r="E31" s="227"/>
      <c r="F31" s="72"/>
    </row>
    <row r="32" spans="2:6">
      <c r="B32" s="93" t="s">
        <v>23</v>
      </c>
      <c r="C32" s="11" t="s">
        <v>24</v>
      </c>
      <c r="D32" s="201">
        <v>115881.70000000001</v>
      </c>
      <c r="E32" s="226">
        <f>E33+E35+E37+E39</f>
        <v>308843.92000000004</v>
      </c>
      <c r="F32" s="72"/>
    </row>
    <row r="33" spans="2:6">
      <c r="B33" s="181" t="s">
        <v>4</v>
      </c>
      <c r="C33" s="174" t="s">
        <v>25</v>
      </c>
      <c r="D33" s="202">
        <v>100886.72</v>
      </c>
      <c r="E33" s="227">
        <v>306491.56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258.99</v>
      </c>
      <c r="E35" s="227">
        <v>99.02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6902.3</v>
      </c>
      <c r="E37" s="227">
        <v>2253.34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7833.69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-6659.65</v>
      </c>
      <c r="E40" s="233">
        <v>-2918.19</v>
      </c>
    </row>
    <row r="41" spans="2:6" ht="13.5" thickBot="1">
      <c r="B41" s="100" t="s">
        <v>37</v>
      </c>
      <c r="C41" s="101" t="s">
        <v>38</v>
      </c>
      <c r="D41" s="205">
        <v>311762.10999999993</v>
      </c>
      <c r="E41" s="149">
        <f>E26+E27+E40</f>
        <v>-5.5933924159035087E-11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2945.2575999999999</v>
      </c>
      <c r="E47" s="74">
        <v>2668.5106999999998</v>
      </c>
    </row>
    <row r="48" spans="2:6">
      <c r="B48" s="186" t="s">
        <v>6</v>
      </c>
      <c r="C48" s="187" t="s">
        <v>41</v>
      </c>
      <c r="D48" s="207">
        <v>2668.5106999999998</v>
      </c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119.46</v>
      </c>
      <c r="E50" s="76">
        <v>116.83</v>
      </c>
    </row>
    <row r="51" spans="2:5">
      <c r="B51" s="184" t="s">
        <v>6</v>
      </c>
      <c r="C51" s="185" t="s">
        <v>190</v>
      </c>
      <c r="D51" s="209">
        <v>114.41</v>
      </c>
      <c r="E51" s="76">
        <v>99.9</v>
      </c>
    </row>
    <row r="52" spans="2:5">
      <c r="B52" s="184" t="s">
        <v>8</v>
      </c>
      <c r="C52" s="185" t="s">
        <v>191</v>
      </c>
      <c r="D52" s="209">
        <v>120.76</v>
      </c>
      <c r="E52" s="76">
        <v>118.67</v>
      </c>
    </row>
    <row r="53" spans="2:5" ht="14.25" customHeight="1" thickBot="1">
      <c r="B53" s="188" t="s">
        <v>9</v>
      </c>
      <c r="C53" s="189" t="s">
        <v>41</v>
      </c>
      <c r="D53" s="210">
        <v>116.83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1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155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 t="s">
        <v>206</v>
      </c>
      <c r="E11" s="258" t="s">
        <v>206</v>
      </c>
    </row>
    <row r="12" spans="2:5">
      <c r="B12" s="173" t="s">
        <v>4</v>
      </c>
      <c r="C12" s="174" t="s">
        <v>5</v>
      </c>
      <c r="D12" s="261" t="s">
        <v>206</v>
      </c>
      <c r="E12" s="262" t="s">
        <v>206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 t="s">
        <v>206</v>
      </c>
      <c r="E21" s="149" t="str">
        <f>E11</f>
        <v>-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 t="s">
        <v>206</v>
      </c>
      <c r="E26" s="232" t="str">
        <f>D21</f>
        <v>-</v>
      </c>
    </row>
    <row r="27" spans="2:6">
      <c r="B27" s="9" t="s">
        <v>17</v>
      </c>
      <c r="C27" s="10" t="s">
        <v>187</v>
      </c>
      <c r="D27" s="201">
        <v>-173.69000000000051</v>
      </c>
      <c r="E27" s="225">
        <f>E28-E32</f>
        <v>0</v>
      </c>
      <c r="F27" s="72"/>
    </row>
    <row r="28" spans="2:6">
      <c r="B28" s="9" t="s">
        <v>18</v>
      </c>
      <c r="C28" s="10" t="s">
        <v>19</v>
      </c>
      <c r="D28" s="201">
        <v>14106.83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14106.83</v>
      </c>
      <c r="E31" s="227"/>
      <c r="F31" s="72"/>
    </row>
    <row r="32" spans="2:6">
      <c r="B32" s="93" t="s">
        <v>23</v>
      </c>
      <c r="C32" s="11" t="s">
        <v>24</v>
      </c>
      <c r="D32" s="201">
        <v>14280.52</v>
      </c>
      <c r="E32" s="226">
        <f>E33+E35+E37+E39</f>
        <v>0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2.98</v>
      </c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14277.54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173.69</v>
      </c>
      <c r="E40" s="233">
        <v>0</v>
      </c>
    </row>
    <row r="41" spans="2:6" ht="13.5" thickBot="1">
      <c r="B41" s="100" t="s">
        <v>37</v>
      </c>
      <c r="C41" s="101" t="s">
        <v>38</v>
      </c>
      <c r="D41" s="205" t="s">
        <v>206</v>
      </c>
      <c r="E41" s="149" t="s">
        <v>206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/>
      <c r="E47" s="74"/>
    </row>
    <row r="48" spans="2:6">
      <c r="B48" s="186" t="s">
        <v>6</v>
      </c>
      <c r="C48" s="187" t="s">
        <v>41</v>
      </c>
      <c r="D48" s="207"/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/>
      <c r="E50" s="76"/>
    </row>
    <row r="51" spans="2:5">
      <c r="B51" s="184" t="s">
        <v>6</v>
      </c>
      <c r="C51" s="185" t="s">
        <v>190</v>
      </c>
      <c r="D51" s="209">
        <v>82.57</v>
      </c>
      <c r="E51" s="76"/>
    </row>
    <row r="52" spans="2:5">
      <c r="B52" s="184" t="s">
        <v>8</v>
      </c>
      <c r="C52" s="185" t="s">
        <v>191</v>
      </c>
      <c r="D52" s="209">
        <v>118.25</v>
      </c>
      <c r="E52" s="76"/>
    </row>
    <row r="53" spans="2:5" ht="13.5" customHeight="1" thickBot="1">
      <c r="B53" s="188" t="s">
        <v>9</v>
      </c>
      <c r="C53" s="189" t="s">
        <v>41</v>
      </c>
      <c r="D53" s="210"/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139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701126.99</v>
      </c>
      <c r="E11" s="258">
        <f>E12</f>
        <v>89072.15</v>
      </c>
    </row>
    <row r="12" spans="2:5">
      <c r="B12" s="173" t="s">
        <v>4</v>
      </c>
      <c r="C12" s="174" t="s">
        <v>5</v>
      </c>
      <c r="D12" s="261">
        <v>701126.99</v>
      </c>
      <c r="E12" s="262">
        <v>89072.15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701126.99</v>
      </c>
      <c r="E21" s="149">
        <f>E11</f>
        <v>89072.15</v>
      </c>
      <c r="F21" s="78"/>
    </row>
    <row r="22" spans="2:6">
      <c r="B22" s="3"/>
      <c r="C22" s="7"/>
      <c r="D22" s="8"/>
      <c r="E22" s="223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952809.53</v>
      </c>
      <c r="E26" s="232">
        <f>D21</f>
        <v>701126.99</v>
      </c>
    </row>
    <row r="27" spans="2:6">
      <c r="B27" s="9" t="s">
        <v>17</v>
      </c>
      <c r="C27" s="10" t="s">
        <v>187</v>
      </c>
      <c r="D27" s="201">
        <v>-320472.97000000003</v>
      </c>
      <c r="E27" s="225">
        <f>E28-E32</f>
        <v>-577810.49999999988</v>
      </c>
      <c r="F27" s="72"/>
    </row>
    <row r="28" spans="2:6">
      <c r="B28" s="9" t="s">
        <v>18</v>
      </c>
      <c r="C28" s="10" t="s">
        <v>19</v>
      </c>
      <c r="D28" s="201">
        <v>27544.68</v>
      </c>
      <c r="E28" s="226">
        <f>E29+E30+E31</f>
        <v>114626.97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27544.68</v>
      </c>
      <c r="E31" s="227">
        <v>114626.97</v>
      </c>
      <c r="F31" s="72"/>
    </row>
    <row r="32" spans="2:6">
      <c r="B32" s="93" t="s">
        <v>23</v>
      </c>
      <c r="C32" s="11" t="s">
        <v>24</v>
      </c>
      <c r="D32" s="201">
        <v>348017.65</v>
      </c>
      <c r="E32" s="226">
        <f>E33+E35+E37+E39</f>
        <v>692437.46999999986</v>
      </c>
      <c r="F32" s="72"/>
    </row>
    <row r="33" spans="2:6">
      <c r="B33" s="181" t="s">
        <v>4</v>
      </c>
      <c r="C33" s="174" t="s">
        <v>25</v>
      </c>
      <c r="D33" s="202">
        <v>306016.28999999998</v>
      </c>
      <c r="E33" s="227">
        <v>668388.56999999995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1151.4000000000001</v>
      </c>
      <c r="E35" s="227">
        <v>210.45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13272.84</v>
      </c>
      <c r="E37" s="227">
        <v>9397.24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27577.119999999999</v>
      </c>
      <c r="E39" s="228">
        <v>14441.21</v>
      </c>
      <c r="F39" s="72"/>
    </row>
    <row r="40" spans="2:6" ht="13.5" thickBot="1">
      <c r="B40" s="98" t="s">
        <v>35</v>
      </c>
      <c r="C40" s="99" t="s">
        <v>36</v>
      </c>
      <c r="D40" s="204">
        <v>68790.429999999993</v>
      </c>
      <c r="E40" s="233">
        <v>-34244.339999999997</v>
      </c>
    </row>
    <row r="41" spans="2:6" ht="13.5" thickBot="1">
      <c r="B41" s="100" t="s">
        <v>37</v>
      </c>
      <c r="C41" s="101" t="s">
        <v>38</v>
      </c>
      <c r="D41" s="205">
        <v>701126.99</v>
      </c>
      <c r="E41" s="149">
        <f>E26+E27+E40</f>
        <v>89072.150000000111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1871.18</v>
      </c>
      <c r="E47" s="74">
        <v>1264.33</v>
      </c>
    </row>
    <row r="48" spans="2:6">
      <c r="B48" s="186" t="s">
        <v>6</v>
      </c>
      <c r="C48" s="187" t="s">
        <v>41</v>
      </c>
      <c r="D48" s="207">
        <v>1264.33</v>
      </c>
      <c r="E48" s="150">
        <v>172.39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509.20249999999999</v>
      </c>
      <c r="E50" s="76">
        <v>554.54430000000002</v>
      </c>
    </row>
    <row r="51" spans="2:5">
      <c r="B51" s="184" t="s">
        <v>6</v>
      </c>
      <c r="C51" s="185" t="s">
        <v>190</v>
      </c>
      <c r="D51" s="209">
        <v>507.11759999999998</v>
      </c>
      <c r="E51" s="76">
        <v>514.94140000000004</v>
      </c>
    </row>
    <row r="52" spans="2:5">
      <c r="B52" s="184" t="s">
        <v>8</v>
      </c>
      <c r="C52" s="185" t="s">
        <v>191</v>
      </c>
      <c r="D52" s="209">
        <v>560.69920000000002</v>
      </c>
      <c r="E52" s="76">
        <v>577.61450000000002</v>
      </c>
    </row>
    <row r="53" spans="2:5" ht="12.75" customHeight="1" thickBot="1">
      <c r="B53" s="188" t="s">
        <v>9</v>
      </c>
      <c r="C53" s="189" t="s">
        <v>41</v>
      </c>
      <c r="D53" s="210">
        <v>554.54430000000002</v>
      </c>
      <c r="E53" s="234">
        <v>516.68979999999999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89072.15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89072.15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89072.15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89072.15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164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215"/>
      <c r="C10" s="216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73246.179999999993</v>
      </c>
      <c r="E11" s="258">
        <f>E12</f>
        <v>44595.06</v>
      </c>
    </row>
    <row r="12" spans="2:5">
      <c r="B12" s="173" t="s">
        <v>4</v>
      </c>
      <c r="C12" s="174" t="s">
        <v>5</v>
      </c>
      <c r="D12" s="261">
        <v>73246.179999999993</v>
      </c>
      <c r="E12" s="262">
        <v>44595.06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73246.179999999993</v>
      </c>
      <c r="E21" s="149">
        <f>E11</f>
        <v>44595.06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51702.82</v>
      </c>
      <c r="E26" s="232">
        <f>D21</f>
        <v>73246.179999999993</v>
      </c>
    </row>
    <row r="27" spans="2:6">
      <c r="B27" s="9" t="s">
        <v>17</v>
      </c>
      <c r="C27" s="10" t="s">
        <v>187</v>
      </c>
      <c r="D27" s="201">
        <v>-4240.97</v>
      </c>
      <c r="E27" s="225">
        <f>E28-E32</f>
        <v>-18704.599999999999</v>
      </c>
      <c r="F27" s="72"/>
    </row>
    <row r="28" spans="2:6">
      <c r="B28" s="9" t="s">
        <v>18</v>
      </c>
      <c r="C28" s="10" t="s">
        <v>19</v>
      </c>
      <c r="D28" s="201">
        <v>584.71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584.71</v>
      </c>
      <c r="E31" s="227"/>
      <c r="F31" s="72"/>
    </row>
    <row r="32" spans="2:6">
      <c r="B32" s="93" t="s">
        <v>23</v>
      </c>
      <c r="C32" s="11" t="s">
        <v>24</v>
      </c>
      <c r="D32" s="201">
        <v>4825.68</v>
      </c>
      <c r="E32" s="226">
        <f>E33+E35+E37+E39</f>
        <v>18704.599999999999</v>
      </c>
      <c r="F32" s="72"/>
    </row>
    <row r="33" spans="2:6">
      <c r="B33" s="181" t="s">
        <v>4</v>
      </c>
      <c r="C33" s="174" t="s">
        <v>25</v>
      </c>
      <c r="D33" s="202">
        <v>3610.29</v>
      </c>
      <c r="E33" s="227">
        <v>17889.46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211.5</v>
      </c>
      <c r="E35" s="227">
        <v>132.88999999999999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1003.89</v>
      </c>
      <c r="E37" s="227">
        <v>682.25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25784.33</v>
      </c>
      <c r="E40" s="233">
        <v>-9946.52</v>
      </c>
    </row>
    <row r="41" spans="2:6" ht="13.5" thickBot="1">
      <c r="B41" s="100" t="s">
        <v>37</v>
      </c>
      <c r="C41" s="101" t="s">
        <v>38</v>
      </c>
      <c r="D41" s="205">
        <v>73246.179999999993</v>
      </c>
      <c r="E41" s="149">
        <f>E26+E27+E40</f>
        <v>44595.06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1189.7</v>
      </c>
      <c r="E47" s="74">
        <v>1123.53</v>
      </c>
    </row>
    <row r="48" spans="2:6">
      <c r="B48" s="186" t="s">
        <v>6</v>
      </c>
      <c r="C48" s="187" t="s">
        <v>41</v>
      </c>
      <c r="D48" s="207">
        <v>1123.53</v>
      </c>
      <c r="E48" s="150">
        <v>826.07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43.4587</v>
      </c>
      <c r="E50" s="76">
        <v>65.192899999999995</v>
      </c>
    </row>
    <row r="51" spans="2:5">
      <c r="B51" s="184" t="s">
        <v>6</v>
      </c>
      <c r="C51" s="185" t="s">
        <v>190</v>
      </c>
      <c r="D51" s="209">
        <v>43.4587</v>
      </c>
      <c r="E51" s="76">
        <v>51.077100000000002</v>
      </c>
    </row>
    <row r="52" spans="2:5">
      <c r="B52" s="184" t="s">
        <v>8</v>
      </c>
      <c r="C52" s="185" t="s">
        <v>191</v>
      </c>
      <c r="D52" s="209">
        <v>66.499899999999997</v>
      </c>
      <c r="E52" s="76">
        <v>69.4101</v>
      </c>
    </row>
    <row r="53" spans="2:5" ht="12.75" customHeight="1" thickBot="1">
      <c r="B53" s="188" t="s">
        <v>9</v>
      </c>
      <c r="C53" s="189" t="s">
        <v>41</v>
      </c>
      <c r="D53" s="210">
        <v>65.192899999999995</v>
      </c>
      <c r="E53" s="234">
        <v>53.9846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44595.06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44595.06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44595.06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44595.06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140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157878.49</v>
      </c>
      <c r="E11" s="258">
        <f>E12</f>
        <v>66325.960000000006</v>
      </c>
    </row>
    <row r="12" spans="2:5">
      <c r="B12" s="173" t="s">
        <v>4</v>
      </c>
      <c r="C12" s="174" t="s">
        <v>5</v>
      </c>
      <c r="D12" s="261">
        <v>157878.49</v>
      </c>
      <c r="E12" s="262">
        <v>66325.960000000006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157878.49</v>
      </c>
      <c r="E21" s="149">
        <f>E11</f>
        <v>66325.960000000006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892872.42</v>
      </c>
      <c r="E26" s="232">
        <f>D21</f>
        <v>157878.49</v>
      </c>
    </row>
    <row r="27" spans="2:6">
      <c r="B27" s="9" t="s">
        <v>17</v>
      </c>
      <c r="C27" s="10" t="s">
        <v>187</v>
      </c>
      <c r="D27" s="201">
        <v>-783328.84</v>
      </c>
      <c r="E27" s="225">
        <f>E28-E32</f>
        <v>-87538.98</v>
      </c>
      <c r="F27" s="72"/>
    </row>
    <row r="28" spans="2:6">
      <c r="B28" s="9" t="s">
        <v>18</v>
      </c>
      <c r="C28" s="10" t="s">
        <v>19</v>
      </c>
      <c r="D28" s="201">
        <v>27544.69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27544.69</v>
      </c>
      <c r="E31" s="227"/>
      <c r="F31" s="72"/>
    </row>
    <row r="32" spans="2:6">
      <c r="B32" s="93" t="s">
        <v>23</v>
      </c>
      <c r="C32" s="11" t="s">
        <v>24</v>
      </c>
      <c r="D32" s="201">
        <v>810873.52999999991</v>
      </c>
      <c r="E32" s="226">
        <f>E33+E35+E37+E39</f>
        <v>87538.98</v>
      </c>
      <c r="F32" s="72"/>
    </row>
    <row r="33" spans="2:6">
      <c r="B33" s="181" t="s">
        <v>4</v>
      </c>
      <c r="C33" s="174" t="s">
        <v>25</v>
      </c>
      <c r="D33" s="202">
        <v>796862.32</v>
      </c>
      <c r="E33" s="227">
        <v>86021.3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26.09</v>
      </c>
      <c r="E35" s="227">
        <v>32.619999999999997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13985.12</v>
      </c>
      <c r="E37" s="227">
        <v>1485.06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48334.91</v>
      </c>
      <c r="E40" s="233">
        <v>-4013.55</v>
      </c>
    </row>
    <row r="41" spans="2:6" ht="13.5" thickBot="1">
      <c r="B41" s="100" t="s">
        <v>37</v>
      </c>
      <c r="C41" s="101" t="s">
        <v>38</v>
      </c>
      <c r="D41" s="205">
        <v>157878.49000000008</v>
      </c>
      <c r="E41" s="149">
        <f>E26+E27+E40</f>
        <v>66325.959999999992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7877.92</v>
      </c>
      <c r="E47" s="74">
        <v>1313.9</v>
      </c>
    </row>
    <row r="48" spans="2:6">
      <c r="B48" s="186" t="s">
        <v>6</v>
      </c>
      <c r="C48" s="187" t="s">
        <v>41</v>
      </c>
      <c r="D48" s="207">
        <v>1313.9</v>
      </c>
      <c r="E48" s="150">
        <v>583.62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113.3386</v>
      </c>
      <c r="E50" s="76">
        <v>120.1602</v>
      </c>
    </row>
    <row r="51" spans="2:5">
      <c r="B51" s="184" t="s">
        <v>6</v>
      </c>
      <c r="C51" s="185" t="s">
        <v>190</v>
      </c>
      <c r="D51" s="209">
        <v>113.2443</v>
      </c>
      <c r="E51" s="76">
        <v>111.8567</v>
      </c>
    </row>
    <row r="52" spans="2:5">
      <c r="B52" s="184" t="s">
        <v>8</v>
      </c>
      <c r="C52" s="185" t="s">
        <v>191</v>
      </c>
      <c r="D52" s="209">
        <v>122.74299999999999</v>
      </c>
      <c r="E52" s="76">
        <v>124.75960000000001</v>
      </c>
    </row>
    <row r="53" spans="2:5" ht="13.5" customHeight="1" thickBot="1">
      <c r="B53" s="188" t="s">
        <v>9</v>
      </c>
      <c r="C53" s="189" t="s">
        <v>41</v>
      </c>
      <c r="D53" s="210">
        <v>120.1602</v>
      </c>
      <c r="E53" s="234">
        <v>113.64579999999999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66325.960000000006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66325.960000000006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66325.960000000006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66325.960000000006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135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1547000.98</v>
      </c>
      <c r="E11" s="258">
        <f>E12</f>
        <v>1112675.3500000001</v>
      </c>
    </row>
    <row r="12" spans="2:5">
      <c r="B12" s="173" t="s">
        <v>4</v>
      </c>
      <c r="C12" s="174" t="s">
        <v>5</v>
      </c>
      <c r="D12" s="261">
        <v>1547000.98</v>
      </c>
      <c r="E12" s="262">
        <v>1112675.3500000001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1547000.98</v>
      </c>
      <c r="E21" s="149">
        <f>E11</f>
        <v>1112675.3500000001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2625616.23</v>
      </c>
      <c r="E26" s="232">
        <f>D21</f>
        <v>1547000.98</v>
      </c>
    </row>
    <row r="27" spans="2:6">
      <c r="B27" s="9" t="s">
        <v>17</v>
      </c>
      <c r="C27" s="10" t="s">
        <v>187</v>
      </c>
      <c r="D27" s="201">
        <v>-1462416.19</v>
      </c>
      <c r="E27" s="225">
        <f>E28-E32</f>
        <v>-207830.84999999998</v>
      </c>
      <c r="F27" s="72"/>
    </row>
    <row r="28" spans="2:6">
      <c r="B28" s="9" t="s">
        <v>18</v>
      </c>
      <c r="C28" s="10" t="s">
        <v>19</v>
      </c>
      <c r="D28" s="201">
        <v>176679.13</v>
      </c>
      <c r="E28" s="226">
        <f>E29+E30+E31</f>
        <v>265262.27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176679.13</v>
      </c>
      <c r="E31" s="227">
        <v>265262.27</v>
      </c>
      <c r="F31" s="72"/>
    </row>
    <row r="32" spans="2:6">
      <c r="B32" s="93" t="s">
        <v>23</v>
      </c>
      <c r="C32" s="11" t="s">
        <v>24</v>
      </c>
      <c r="D32" s="201">
        <v>1639095.32</v>
      </c>
      <c r="E32" s="226">
        <f>E33+E35+E37+E39</f>
        <v>473093.12</v>
      </c>
      <c r="F32" s="72"/>
    </row>
    <row r="33" spans="2:6">
      <c r="B33" s="181" t="s">
        <v>4</v>
      </c>
      <c r="C33" s="174" t="s">
        <v>25</v>
      </c>
      <c r="D33" s="202">
        <v>1402650.99</v>
      </c>
      <c r="E33" s="227">
        <v>385934.31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3721.79</v>
      </c>
      <c r="E35" s="227">
        <v>1955.74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37079.03</v>
      </c>
      <c r="E37" s="227">
        <v>22389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195643.51</v>
      </c>
      <c r="E39" s="228">
        <v>62814.07</v>
      </c>
      <c r="F39" s="72"/>
    </row>
    <row r="40" spans="2:6" ht="13.5" thickBot="1">
      <c r="B40" s="98" t="s">
        <v>35</v>
      </c>
      <c r="C40" s="99" t="s">
        <v>36</v>
      </c>
      <c r="D40" s="204">
        <v>383800.94</v>
      </c>
      <c r="E40" s="233">
        <v>-226494.78</v>
      </c>
    </row>
    <row r="41" spans="2:6" ht="13.5" thickBot="1">
      <c r="B41" s="100" t="s">
        <v>37</v>
      </c>
      <c r="C41" s="101" t="s">
        <v>38</v>
      </c>
      <c r="D41" s="205">
        <v>1547000.98</v>
      </c>
      <c r="E41" s="149">
        <f>E26+E27+E40</f>
        <v>1112675.3499999999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25200.15</v>
      </c>
      <c r="E47" s="74">
        <v>12705.57</v>
      </c>
    </row>
    <row r="48" spans="2:6">
      <c r="B48" s="186" t="s">
        <v>6</v>
      </c>
      <c r="C48" s="187" t="s">
        <v>41</v>
      </c>
      <c r="D48" s="207">
        <v>12705.57</v>
      </c>
      <c r="E48" s="150">
        <v>10943.3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104.1905</v>
      </c>
      <c r="E50" s="76">
        <v>121.7577</v>
      </c>
    </row>
    <row r="51" spans="2:5">
      <c r="B51" s="184" t="s">
        <v>6</v>
      </c>
      <c r="C51" s="185" t="s">
        <v>190</v>
      </c>
      <c r="D51" s="209">
        <v>104.1905</v>
      </c>
      <c r="E51" s="76">
        <v>99.984800000000007</v>
      </c>
    </row>
    <row r="52" spans="2:5">
      <c r="B52" s="184" t="s">
        <v>8</v>
      </c>
      <c r="C52" s="185" t="s">
        <v>191</v>
      </c>
      <c r="D52" s="209">
        <v>124.9284</v>
      </c>
      <c r="E52" s="76">
        <v>128.25810000000001</v>
      </c>
    </row>
    <row r="53" spans="2:5" ht="12.75" customHeight="1" thickBot="1">
      <c r="B53" s="188" t="s">
        <v>9</v>
      </c>
      <c r="C53" s="189" t="s">
        <v>41</v>
      </c>
      <c r="D53" s="210">
        <v>121.7577</v>
      </c>
      <c r="E53" s="234">
        <v>101.6764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1112675.3500000001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1112675.3500000001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1112675.3500000001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1112675.3500000001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136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1474348.99</v>
      </c>
      <c r="E11" s="258">
        <f>E12</f>
        <v>728664.48</v>
      </c>
    </row>
    <row r="12" spans="2:5">
      <c r="B12" s="173" t="s">
        <v>4</v>
      </c>
      <c r="C12" s="174" t="s">
        <v>5</v>
      </c>
      <c r="D12" s="261">
        <v>1474348.99</v>
      </c>
      <c r="E12" s="262">
        <f>728687.24-22.76</f>
        <v>728664.48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1474348.99</v>
      </c>
      <c r="E21" s="149">
        <f>E11</f>
        <v>728664.48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1357280.67</v>
      </c>
      <c r="E26" s="232">
        <f>D21</f>
        <v>1474348.99</v>
      </c>
    </row>
    <row r="27" spans="2:6">
      <c r="B27" s="9" t="s">
        <v>17</v>
      </c>
      <c r="C27" s="10" t="s">
        <v>187</v>
      </c>
      <c r="D27" s="201">
        <v>-196649.78000000006</v>
      </c>
      <c r="E27" s="225">
        <f>E28-E32</f>
        <v>-559927.78</v>
      </c>
      <c r="F27" s="72"/>
    </row>
    <row r="28" spans="2:6">
      <c r="B28" s="9" t="s">
        <v>18</v>
      </c>
      <c r="C28" s="10" t="s">
        <v>19</v>
      </c>
      <c r="D28" s="201">
        <v>124983.09</v>
      </c>
      <c r="E28" s="226">
        <f>E29+E30+E31</f>
        <v>4346.87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124983.09</v>
      </c>
      <c r="E31" s="227">
        <v>4346.87</v>
      </c>
      <c r="F31" s="72"/>
    </row>
    <row r="32" spans="2:6">
      <c r="B32" s="93" t="s">
        <v>23</v>
      </c>
      <c r="C32" s="11" t="s">
        <v>24</v>
      </c>
      <c r="D32" s="201">
        <v>321632.87000000005</v>
      </c>
      <c r="E32" s="226">
        <f>E33+E35+E37+E39</f>
        <v>564274.65</v>
      </c>
      <c r="F32" s="72"/>
    </row>
    <row r="33" spans="2:6">
      <c r="B33" s="181" t="s">
        <v>4</v>
      </c>
      <c r="C33" s="174" t="s">
        <v>25</v>
      </c>
      <c r="D33" s="202">
        <v>291157.95</v>
      </c>
      <c r="E33" s="227">
        <f>436548.44-6.16</f>
        <v>436542.28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804.52</v>
      </c>
      <c r="E35" s="227">
        <v>375.26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23042.84</v>
      </c>
      <c r="E37" s="227">
        <v>16339.06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6627.56</v>
      </c>
      <c r="E39" s="228">
        <v>111018.05</v>
      </c>
      <c r="F39" s="72"/>
    </row>
    <row r="40" spans="2:6" ht="13.5" thickBot="1">
      <c r="B40" s="98" t="s">
        <v>35</v>
      </c>
      <c r="C40" s="99" t="s">
        <v>36</v>
      </c>
      <c r="D40" s="204">
        <v>313718.09999999998</v>
      </c>
      <c r="E40" s="233">
        <v>-185756.73</v>
      </c>
    </row>
    <row r="41" spans="2:6" ht="13.5" thickBot="1">
      <c r="B41" s="100" t="s">
        <v>37</v>
      </c>
      <c r="C41" s="101" t="s">
        <v>38</v>
      </c>
      <c r="D41" s="205">
        <v>1474348.9899999998</v>
      </c>
      <c r="E41" s="149">
        <f>E26+E27+E40</f>
        <v>728664.48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3507.1</v>
      </c>
      <c r="E47" s="74">
        <v>3059.04</v>
      </c>
    </row>
    <row r="48" spans="2:6">
      <c r="B48" s="186" t="s">
        <v>6</v>
      </c>
      <c r="C48" s="187" t="s">
        <v>41</v>
      </c>
      <c r="D48" s="207">
        <v>3059.04</v>
      </c>
      <c r="E48" s="150">
        <v>1921.119983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387.00940000000003</v>
      </c>
      <c r="E50" s="76">
        <v>481.96460000000002</v>
      </c>
    </row>
    <row r="51" spans="2:5">
      <c r="B51" s="184" t="s">
        <v>6</v>
      </c>
      <c r="C51" s="185" t="s">
        <v>190</v>
      </c>
      <c r="D51" s="209">
        <v>387.00940000000003</v>
      </c>
      <c r="E51" s="235">
        <v>373.19549999999998</v>
      </c>
    </row>
    <row r="52" spans="2:5">
      <c r="B52" s="184" t="s">
        <v>8</v>
      </c>
      <c r="C52" s="185" t="s">
        <v>191</v>
      </c>
      <c r="D52" s="209">
        <v>489.75209999999998</v>
      </c>
      <c r="E52" s="235">
        <v>519.31799999999998</v>
      </c>
    </row>
    <row r="53" spans="2:5" ht="12.75" customHeight="1" thickBot="1">
      <c r="B53" s="188" t="s">
        <v>9</v>
      </c>
      <c r="C53" s="189" t="s">
        <v>41</v>
      </c>
      <c r="D53" s="210">
        <v>481.96460000000002</v>
      </c>
      <c r="E53" s="234">
        <v>379.29149999999998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728664.48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728664.48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728664.48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728664.48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137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1142542.57</v>
      </c>
      <c r="E11" s="258">
        <f>E12</f>
        <v>741231.13</v>
      </c>
    </row>
    <row r="12" spans="2:5">
      <c r="B12" s="173" t="s">
        <v>4</v>
      </c>
      <c r="C12" s="174" t="s">
        <v>5</v>
      </c>
      <c r="D12" s="261">
        <v>1142542.57</v>
      </c>
      <c r="E12" s="262">
        <v>741231.13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1142542.57</v>
      </c>
      <c r="E21" s="149">
        <f>E11</f>
        <v>741231.13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1492826.51</v>
      </c>
      <c r="E26" s="232">
        <f>D21</f>
        <v>1142542.57</v>
      </c>
    </row>
    <row r="27" spans="2:6">
      <c r="B27" s="9" t="s">
        <v>17</v>
      </c>
      <c r="C27" s="10" t="s">
        <v>187</v>
      </c>
      <c r="D27" s="201">
        <v>-451593.47</v>
      </c>
      <c r="E27" s="225">
        <f>E28-E32</f>
        <v>-316989.30000000005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152556.06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152556.06</v>
      </c>
      <c r="F31" s="72"/>
    </row>
    <row r="32" spans="2:6">
      <c r="B32" s="93" t="s">
        <v>23</v>
      </c>
      <c r="C32" s="11" t="s">
        <v>24</v>
      </c>
      <c r="D32" s="201">
        <v>451593.47</v>
      </c>
      <c r="E32" s="226">
        <f>E33+E35+E37+E39</f>
        <v>469545.36000000004</v>
      </c>
      <c r="F32" s="72"/>
    </row>
    <row r="33" spans="2:6">
      <c r="B33" s="181" t="s">
        <v>4</v>
      </c>
      <c r="C33" s="174" t="s">
        <v>25</v>
      </c>
      <c r="D33" s="202">
        <v>430700.84</v>
      </c>
      <c r="E33" s="227">
        <v>434005.52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740.22</v>
      </c>
      <c r="E35" s="227">
        <v>677.63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20152.41</v>
      </c>
      <c r="E37" s="227">
        <v>16589.82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18272.39</v>
      </c>
      <c r="F39" s="72"/>
    </row>
    <row r="40" spans="2:6" ht="13.5" thickBot="1">
      <c r="B40" s="98" t="s">
        <v>35</v>
      </c>
      <c r="C40" s="99" t="s">
        <v>36</v>
      </c>
      <c r="D40" s="204">
        <v>101309.53</v>
      </c>
      <c r="E40" s="233">
        <v>-84322.14</v>
      </c>
    </row>
    <row r="41" spans="2:6" ht="13.5" thickBot="1">
      <c r="B41" s="100" t="s">
        <v>37</v>
      </c>
      <c r="C41" s="101" t="s">
        <v>38</v>
      </c>
      <c r="D41" s="205">
        <v>1142542.57</v>
      </c>
      <c r="E41" s="149">
        <f>E26+E27+E40</f>
        <v>741231.13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2621.25</v>
      </c>
      <c r="E47" s="74">
        <v>1856.41</v>
      </c>
    </row>
    <row r="48" spans="2:6">
      <c r="B48" s="186" t="s">
        <v>6</v>
      </c>
      <c r="C48" s="187" t="s">
        <v>41</v>
      </c>
      <c r="D48" s="207">
        <v>1856.41</v>
      </c>
      <c r="E48" s="150">
        <v>1314.62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569.50940000000003</v>
      </c>
      <c r="E50" s="76">
        <v>615.45809999999994</v>
      </c>
    </row>
    <row r="51" spans="2:5">
      <c r="B51" s="184" t="s">
        <v>6</v>
      </c>
      <c r="C51" s="185" t="s">
        <v>190</v>
      </c>
      <c r="D51" s="209">
        <v>568.92539999999997</v>
      </c>
      <c r="E51" s="76">
        <v>560.46709999999996</v>
      </c>
    </row>
    <row r="52" spans="2:5">
      <c r="B52" s="184" t="s">
        <v>8</v>
      </c>
      <c r="C52" s="185" t="s">
        <v>191</v>
      </c>
      <c r="D52" s="209">
        <v>615.45809999999994</v>
      </c>
      <c r="E52" s="76">
        <v>632.10299999999995</v>
      </c>
    </row>
    <row r="53" spans="2:5" ht="13.5" customHeight="1" thickBot="1">
      <c r="B53" s="188" t="s">
        <v>9</v>
      </c>
      <c r="C53" s="189" t="s">
        <v>41</v>
      </c>
      <c r="D53" s="210">
        <v>615.45809999999994</v>
      </c>
      <c r="E53" s="234">
        <v>563.83680000000004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741231.13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741231.13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741231.13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741231.13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6"/>
      <c r="C4" s="86"/>
      <c r="D4" s="86"/>
      <c r="E4" s="86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198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7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16141966.959999999</v>
      </c>
      <c r="E11" s="258">
        <f>E12+E13+E14</f>
        <v>11434728.35</v>
      </c>
    </row>
    <row r="12" spans="2:7">
      <c r="B12" s="107" t="s">
        <v>4</v>
      </c>
      <c r="C12" s="6" t="s">
        <v>5</v>
      </c>
      <c r="D12" s="261">
        <v>16130257.029999999</v>
      </c>
      <c r="E12" s="262">
        <f>11413117.62-2263.5</f>
        <v>11410854.119999999</v>
      </c>
    </row>
    <row r="13" spans="2:7">
      <c r="B13" s="107" t="s">
        <v>6</v>
      </c>
      <c r="C13" s="69" t="s">
        <v>7</v>
      </c>
      <c r="D13" s="261">
        <v>13.86</v>
      </c>
      <c r="E13" s="262"/>
    </row>
    <row r="14" spans="2:7">
      <c r="B14" s="107" t="s">
        <v>8</v>
      </c>
      <c r="C14" s="69" t="s">
        <v>10</v>
      </c>
      <c r="D14" s="261">
        <v>11696.07</v>
      </c>
      <c r="E14" s="262">
        <f>E15</f>
        <v>23874.23</v>
      </c>
    </row>
    <row r="15" spans="2:7">
      <c r="B15" s="107" t="s">
        <v>182</v>
      </c>
      <c r="C15" s="69" t="s">
        <v>11</v>
      </c>
      <c r="D15" s="261">
        <v>11696.07</v>
      </c>
      <c r="E15" s="262">
        <v>23874.23</v>
      </c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38009.22</v>
      </c>
      <c r="E17" s="266">
        <f>SUM(E18:E19)</f>
        <v>16964.79</v>
      </c>
    </row>
    <row r="18" spans="2:6">
      <c r="B18" s="107" t="s">
        <v>4</v>
      </c>
      <c r="C18" s="6" t="s">
        <v>11</v>
      </c>
      <c r="D18" s="261">
        <v>38009.22</v>
      </c>
      <c r="E18" s="306">
        <v>16964.79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16103957.739999998</v>
      </c>
      <c r="E21" s="149">
        <f>E11-E17</f>
        <v>11417763.560000001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8" customHeight="1" thickBot="1">
      <c r="B24" s="357" t="s">
        <v>181</v>
      </c>
      <c r="C24" s="367"/>
      <c r="D24" s="367"/>
      <c r="E24" s="367"/>
    </row>
    <row r="25" spans="2:6" ht="13.5" thickBot="1">
      <c r="B25" s="87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15665491.23</v>
      </c>
      <c r="E26" s="232">
        <f>D21</f>
        <v>16103957.739999998</v>
      </c>
    </row>
    <row r="27" spans="2:6">
      <c r="B27" s="9" t="s">
        <v>17</v>
      </c>
      <c r="C27" s="10" t="s">
        <v>187</v>
      </c>
      <c r="D27" s="201">
        <v>-1473496.88</v>
      </c>
      <c r="E27" s="225">
        <f>E28-E32</f>
        <v>-2398263.8200000003</v>
      </c>
      <c r="F27" s="72"/>
    </row>
    <row r="28" spans="2:6">
      <c r="B28" s="9" t="s">
        <v>18</v>
      </c>
      <c r="C28" s="10" t="s">
        <v>19</v>
      </c>
      <c r="D28" s="201">
        <v>3943074.7700000005</v>
      </c>
      <c r="E28" s="226">
        <v>1314825.3600000001</v>
      </c>
      <c r="F28" s="72"/>
    </row>
    <row r="29" spans="2:6">
      <c r="B29" s="105" t="s">
        <v>4</v>
      </c>
      <c r="C29" s="6" t="s">
        <v>20</v>
      </c>
      <c r="D29" s="202">
        <v>1472213.11</v>
      </c>
      <c r="E29" s="227">
        <v>1264569.6299999999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2470861.66</v>
      </c>
      <c r="E31" s="227">
        <v>50255.73</v>
      </c>
      <c r="F31" s="72"/>
    </row>
    <row r="32" spans="2:6">
      <c r="B32" s="93" t="s">
        <v>23</v>
      </c>
      <c r="C32" s="11" t="s">
        <v>24</v>
      </c>
      <c r="D32" s="201">
        <v>5416571.6500000004</v>
      </c>
      <c r="E32" s="226">
        <f>SUM(E33:E39)</f>
        <v>3713089.1800000006</v>
      </c>
      <c r="F32" s="72"/>
    </row>
    <row r="33" spans="2:6">
      <c r="B33" s="105" t="s">
        <v>4</v>
      </c>
      <c r="C33" s="6" t="s">
        <v>25</v>
      </c>
      <c r="D33" s="202">
        <v>4181596.77</v>
      </c>
      <c r="E33" s="227">
        <f>3075001.08+1671.43</f>
        <v>3076672.5100000002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132316.32</v>
      </c>
      <c r="E35" s="227">
        <v>137586.13999999998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285461.11</v>
      </c>
      <c r="E37" s="227">
        <v>223372.97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817197.45</v>
      </c>
      <c r="E39" s="228">
        <v>275457.56</v>
      </c>
      <c r="F39" s="72"/>
    </row>
    <row r="40" spans="2:6" ht="13.5" thickBot="1">
      <c r="B40" s="98" t="s">
        <v>35</v>
      </c>
      <c r="C40" s="99" t="s">
        <v>36</v>
      </c>
      <c r="D40" s="204">
        <v>1911963.39</v>
      </c>
      <c r="E40" s="233">
        <v>-2287930.36</v>
      </c>
    </row>
    <row r="41" spans="2:6" ht="13.5" thickBot="1">
      <c r="B41" s="100" t="s">
        <v>37</v>
      </c>
      <c r="C41" s="101" t="s">
        <v>38</v>
      </c>
      <c r="D41" s="205">
        <v>16103957.740000002</v>
      </c>
      <c r="E41" s="149">
        <f>E26+E27+E40</f>
        <v>11417763.559999999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7.2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126363.8998</v>
      </c>
      <c r="E47" s="74">
        <v>115705.8988</v>
      </c>
    </row>
    <row r="48" spans="2:6">
      <c r="B48" s="124" t="s">
        <v>6</v>
      </c>
      <c r="C48" s="22" t="s">
        <v>41</v>
      </c>
      <c r="D48" s="207">
        <v>115705.8988</v>
      </c>
      <c r="E48" s="302">
        <v>97799.806599999996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123.971254857177</v>
      </c>
      <c r="E50" s="74">
        <v>139.180092846614</v>
      </c>
    </row>
    <row r="51" spans="2:5">
      <c r="B51" s="103" t="s">
        <v>6</v>
      </c>
      <c r="C51" s="15" t="s">
        <v>190</v>
      </c>
      <c r="D51" s="294">
        <v>123.9713</v>
      </c>
      <c r="E51" s="235">
        <v>115.8222</v>
      </c>
    </row>
    <row r="52" spans="2:5" ht="12.75" customHeight="1">
      <c r="B52" s="103" t="s">
        <v>8</v>
      </c>
      <c r="C52" s="15" t="s">
        <v>191</v>
      </c>
      <c r="D52" s="294">
        <v>141.7148</v>
      </c>
      <c r="E52" s="235">
        <v>145.9136</v>
      </c>
    </row>
    <row r="53" spans="2:5" ht="13.5" thickBot="1">
      <c r="B53" s="104" t="s">
        <v>9</v>
      </c>
      <c r="C53" s="17" t="s">
        <v>41</v>
      </c>
      <c r="D53" s="210">
        <v>139.180092846614</v>
      </c>
      <c r="E53" s="234">
        <v>116.746279534903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11410854.119999999</v>
      </c>
      <c r="E58" s="32">
        <f>D58/E21</f>
        <v>0.99939485171822906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10878438.19-2263.5</f>
        <v>10876174.689999999</v>
      </c>
      <c r="E64" s="82">
        <f>D64/E21</f>
        <v>0.95256611619657672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534679.43000000005</v>
      </c>
      <c r="E69" s="80">
        <f>D69/E21</f>
        <v>4.682873552165237E-2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f>D71/E21</f>
        <v>0</v>
      </c>
    </row>
    <row r="72" spans="2:5">
      <c r="B72" s="117" t="s">
        <v>60</v>
      </c>
      <c r="C72" s="118" t="s">
        <v>63</v>
      </c>
      <c r="D72" s="119">
        <f>E14</f>
        <v>23874.23</v>
      </c>
      <c r="E72" s="120">
        <f>D72/E21</f>
        <v>2.0909725336789157E-3</v>
      </c>
    </row>
    <row r="73" spans="2:5">
      <c r="B73" s="23" t="s">
        <v>62</v>
      </c>
      <c r="C73" s="24" t="s">
        <v>65</v>
      </c>
      <c r="D73" s="25">
        <f>E17</f>
        <v>16964.79</v>
      </c>
      <c r="E73" s="26">
        <f>D73/E21</f>
        <v>1.4858242519080506E-3</v>
      </c>
    </row>
    <row r="74" spans="2:5">
      <c r="B74" s="121" t="s">
        <v>64</v>
      </c>
      <c r="C74" s="122" t="s">
        <v>66</v>
      </c>
      <c r="D74" s="123">
        <f>D58+D71+D72-D73</f>
        <v>11417763.560000001</v>
      </c>
      <c r="E74" s="67">
        <f>E58+E72-E73</f>
        <v>1</v>
      </c>
    </row>
    <row r="75" spans="2:5">
      <c r="B75" s="14" t="s">
        <v>4</v>
      </c>
      <c r="C75" s="15" t="s">
        <v>67</v>
      </c>
      <c r="D75" s="79">
        <f>D74</f>
        <v>11417763.560000001</v>
      </c>
      <c r="E75" s="80">
        <f>E74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138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691426.31</v>
      </c>
      <c r="E11" s="258">
        <f>E12</f>
        <v>692537.26</v>
      </c>
    </row>
    <row r="12" spans="2:5">
      <c r="B12" s="173" t="s">
        <v>4</v>
      </c>
      <c r="C12" s="174" t="s">
        <v>5</v>
      </c>
      <c r="D12" s="261">
        <v>691426.31</v>
      </c>
      <c r="E12" s="262">
        <v>692537.26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691426.31</v>
      </c>
      <c r="E21" s="149">
        <f>E11</f>
        <v>692537.26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504749.21</v>
      </c>
      <c r="E26" s="232">
        <f>D21</f>
        <v>691426.31</v>
      </c>
    </row>
    <row r="27" spans="2:6">
      <c r="B27" s="9" t="s">
        <v>17</v>
      </c>
      <c r="C27" s="10" t="s">
        <v>187</v>
      </c>
      <c r="D27" s="201">
        <v>127006.31000000001</v>
      </c>
      <c r="E27" s="225">
        <f>E28-E32</f>
        <v>80266.840000000011</v>
      </c>
      <c r="F27" s="72"/>
    </row>
    <row r="28" spans="2:6">
      <c r="B28" s="9" t="s">
        <v>18</v>
      </c>
      <c r="C28" s="10" t="s">
        <v>19</v>
      </c>
      <c r="D28" s="201">
        <v>156883.01</v>
      </c>
      <c r="E28" s="226">
        <f>E29+E30+E31</f>
        <v>152552.98000000001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156883.01</v>
      </c>
      <c r="E31" s="227">
        <v>152552.98000000001</v>
      </c>
      <c r="F31" s="72"/>
    </row>
    <row r="32" spans="2:6">
      <c r="B32" s="93" t="s">
        <v>23</v>
      </c>
      <c r="C32" s="11" t="s">
        <v>24</v>
      </c>
      <c r="D32" s="201">
        <v>29876.7</v>
      </c>
      <c r="E32" s="226">
        <f>E33+E35+E37+E39</f>
        <v>72286.14</v>
      </c>
      <c r="F32" s="72"/>
    </row>
    <row r="33" spans="2:6">
      <c r="B33" s="181" t="s">
        <v>4</v>
      </c>
      <c r="C33" s="174" t="s">
        <v>25</v>
      </c>
      <c r="D33" s="202">
        <v>18065.7</v>
      </c>
      <c r="E33" s="227">
        <v>59715.29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121.48</v>
      </c>
      <c r="E35" s="227">
        <v>163.99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9222.9</v>
      </c>
      <c r="E37" s="227">
        <v>12406.86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2466.62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59670.79</v>
      </c>
      <c r="E40" s="233">
        <v>-79155.89</v>
      </c>
    </row>
    <row r="41" spans="2:6" ht="13.5" thickBot="1">
      <c r="B41" s="100" t="s">
        <v>37</v>
      </c>
      <c r="C41" s="101" t="s">
        <v>38</v>
      </c>
      <c r="D41" s="205">
        <v>691426.31</v>
      </c>
      <c r="E41" s="149">
        <f>E26+E27+E40</f>
        <v>692537.26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1420.35</v>
      </c>
      <c r="E47" s="74">
        <v>1745.02</v>
      </c>
    </row>
    <row r="48" spans="2:6">
      <c r="B48" s="186" t="s">
        <v>6</v>
      </c>
      <c r="C48" s="187" t="s">
        <v>41</v>
      </c>
      <c r="D48" s="207">
        <v>1745.02</v>
      </c>
      <c r="E48" s="150">
        <v>1929.68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355.36959999999999</v>
      </c>
      <c r="E50" s="76">
        <v>396.22829999999999</v>
      </c>
    </row>
    <row r="51" spans="2:5">
      <c r="B51" s="184" t="s">
        <v>6</v>
      </c>
      <c r="C51" s="185" t="s">
        <v>190</v>
      </c>
      <c r="D51" s="209">
        <v>354.3304</v>
      </c>
      <c r="E51" s="76">
        <v>357.40170000000001</v>
      </c>
    </row>
    <row r="52" spans="2:5">
      <c r="B52" s="184" t="s">
        <v>8</v>
      </c>
      <c r="C52" s="185" t="s">
        <v>191</v>
      </c>
      <c r="D52" s="209">
        <v>397.00220000000002</v>
      </c>
      <c r="E52" s="76">
        <v>405.21620000000001</v>
      </c>
    </row>
    <row r="53" spans="2:5" ht="14.25" customHeight="1" thickBot="1">
      <c r="B53" s="188" t="s">
        <v>9</v>
      </c>
      <c r="C53" s="189" t="s">
        <v>41</v>
      </c>
      <c r="D53" s="210">
        <v>396.22829999999999</v>
      </c>
      <c r="E53" s="234">
        <v>358.88709999999998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692537.26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692537.26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692537.26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692537.26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2"/>
      <c r="C4" s="142"/>
      <c r="D4" s="142"/>
      <c r="E4" s="142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286</v>
      </c>
      <c r="C6" s="356"/>
      <c r="D6" s="356"/>
      <c r="E6" s="356"/>
    </row>
    <row r="7" spans="2:5" ht="14.25">
      <c r="B7" s="140"/>
      <c r="C7" s="140"/>
      <c r="D7" s="140"/>
      <c r="E7" s="14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1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0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0</v>
      </c>
      <c r="E12" s="262">
        <f>44.47-44.47</f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0</v>
      </c>
      <c r="E21" s="149">
        <f>E11-E17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19669.080000000002</v>
      </c>
      <c r="E26" s="232">
        <f>D21</f>
        <v>0</v>
      </c>
    </row>
    <row r="27" spans="2:6">
      <c r="B27" s="9" t="s">
        <v>17</v>
      </c>
      <c r="C27" s="10" t="s">
        <v>187</v>
      </c>
      <c r="D27" s="201">
        <v>-19841.46</v>
      </c>
      <c r="E27" s="225">
        <f>E28-E32</f>
        <v>-0.78</v>
      </c>
      <c r="F27" s="72"/>
    </row>
    <row r="28" spans="2:6">
      <c r="B28" s="9" t="s">
        <v>18</v>
      </c>
      <c r="C28" s="10" t="s">
        <v>19</v>
      </c>
      <c r="D28" s="201">
        <v>6574.27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6574.27</v>
      </c>
      <c r="E31" s="227">
        <v>0</v>
      </c>
      <c r="F31" s="72"/>
    </row>
    <row r="32" spans="2:6">
      <c r="B32" s="93" t="s">
        <v>23</v>
      </c>
      <c r="C32" s="11" t="s">
        <v>24</v>
      </c>
      <c r="D32" s="201">
        <v>26415.73</v>
      </c>
      <c r="E32" s="226">
        <f>E33+E35+E37+E39</f>
        <v>0.78</v>
      </c>
      <c r="F32" s="72"/>
    </row>
    <row r="33" spans="2:6">
      <c r="B33" s="181" t="s">
        <v>4</v>
      </c>
      <c r="C33" s="174" t="s">
        <v>25</v>
      </c>
      <c r="D33" s="202">
        <v>6603.78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7.46</v>
      </c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113.12</v>
      </c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19691.37</v>
      </c>
      <c r="E39" s="228">
        <v>0.78</v>
      </c>
      <c r="F39" s="72"/>
    </row>
    <row r="40" spans="2:6" ht="13.5" thickBot="1">
      <c r="B40" s="98" t="s">
        <v>35</v>
      </c>
      <c r="C40" s="99" t="s">
        <v>36</v>
      </c>
      <c r="D40" s="204">
        <v>172.38</v>
      </c>
      <c r="E40" s="233">
        <v>0.78</v>
      </c>
    </row>
    <row r="41" spans="2:6" ht="13.5" thickBot="1">
      <c r="B41" s="100" t="s">
        <v>37</v>
      </c>
      <c r="C41" s="101" t="s">
        <v>38</v>
      </c>
      <c r="D41" s="205">
        <v>2.6147972675971687E-12</v>
      </c>
      <c r="E41" s="149">
        <f>E26+E27+E40</f>
        <v>0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58.533700000000003</v>
      </c>
      <c r="E47" s="74"/>
    </row>
    <row r="48" spans="2:6">
      <c r="B48" s="186" t="s">
        <v>6</v>
      </c>
      <c r="C48" s="187" t="s">
        <v>41</v>
      </c>
      <c r="D48" s="207"/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336.03</v>
      </c>
      <c r="E50" s="76"/>
    </row>
    <row r="51" spans="2:5">
      <c r="B51" s="184" t="s">
        <v>6</v>
      </c>
      <c r="C51" s="185" t="s">
        <v>190</v>
      </c>
      <c r="D51" s="209">
        <v>335.77</v>
      </c>
      <c r="E51" s="235">
        <v>345.93</v>
      </c>
    </row>
    <row r="52" spans="2:5">
      <c r="B52" s="184" t="s">
        <v>8</v>
      </c>
      <c r="C52" s="185" t="s">
        <v>191</v>
      </c>
      <c r="D52" s="209">
        <v>345.93</v>
      </c>
      <c r="E52" s="235">
        <v>352.07</v>
      </c>
    </row>
    <row r="53" spans="2:5" ht="12.75" customHeight="1" thickBot="1">
      <c r="B53" s="188" t="s">
        <v>9</v>
      </c>
      <c r="C53" s="189" t="s">
        <v>41</v>
      </c>
      <c r="D53" s="210"/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D58-D73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287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18631.87</v>
      </c>
      <c r="E11" s="258">
        <f>E12</f>
        <v>13683.78</v>
      </c>
    </row>
    <row r="12" spans="2:5">
      <c r="B12" s="173" t="s">
        <v>4</v>
      </c>
      <c r="C12" s="174" t="s">
        <v>5</v>
      </c>
      <c r="D12" s="261">
        <v>18631.87</v>
      </c>
      <c r="E12" s="262">
        <v>13683.78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18631.87</v>
      </c>
      <c r="E21" s="149">
        <f>E11</f>
        <v>13683.78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26997.35</v>
      </c>
      <c r="E26" s="232">
        <f>D21</f>
        <v>18631.87</v>
      </c>
    </row>
    <row r="27" spans="2:6">
      <c r="B27" s="9" t="s">
        <v>17</v>
      </c>
      <c r="C27" s="10" t="s">
        <v>187</v>
      </c>
      <c r="D27" s="201">
        <v>-9178.1200000000008</v>
      </c>
      <c r="E27" s="225">
        <f>E28-E32</f>
        <v>-4413.99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9178.1200000000008</v>
      </c>
      <c r="E32" s="226">
        <f>E33+E35+E37+E39</f>
        <v>4413.99</v>
      </c>
      <c r="F32" s="72"/>
    </row>
    <row r="33" spans="2:6">
      <c r="B33" s="181" t="s">
        <v>4</v>
      </c>
      <c r="C33" s="174" t="s">
        <v>25</v>
      </c>
      <c r="D33" s="202"/>
      <c r="E33" s="227">
        <v>3987.72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108.16</v>
      </c>
      <c r="E35" s="227">
        <v>70.64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423.84</v>
      </c>
      <c r="E37" s="227">
        <v>355.63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8646.1200000000008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812.64</v>
      </c>
      <c r="E40" s="233">
        <v>-534.1</v>
      </c>
    </row>
    <row r="41" spans="2:6" ht="13.5" thickBot="1">
      <c r="B41" s="100" t="s">
        <v>37</v>
      </c>
      <c r="C41" s="101" t="s">
        <v>38</v>
      </c>
      <c r="D41" s="205">
        <v>18631.869999999995</v>
      </c>
      <c r="E41" s="149">
        <f>E26+E27+E40</f>
        <v>13683.779999999999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202.47</v>
      </c>
      <c r="E47" s="74">
        <v>134.68170000000001</v>
      </c>
    </row>
    <row r="48" spans="2:6">
      <c r="B48" s="186" t="s">
        <v>6</v>
      </c>
      <c r="C48" s="187" t="s">
        <v>41</v>
      </c>
      <c r="D48" s="207">
        <v>134.68170000000001</v>
      </c>
      <c r="E48" s="150">
        <v>102.50020000000001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133.34</v>
      </c>
      <c r="E50" s="76">
        <v>138.34</v>
      </c>
    </row>
    <row r="51" spans="2:5">
      <c r="B51" s="184" t="s">
        <v>6</v>
      </c>
      <c r="C51" s="185" t="s">
        <v>190</v>
      </c>
      <c r="D51" s="209">
        <v>133.34</v>
      </c>
      <c r="E51" s="76">
        <v>133.13</v>
      </c>
    </row>
    <row r="52" spans="2:5">
      <c r="B52" s="184" t="s">
        <v>8</v>
      </c>
      <c r="C52" s="185" t="s">
        <v>191</v>
      </c>
      <c r="D52" s="209">
        <v>138.34</v>
      </c>
      <c r="E52" s="76">
        <v>139.07</v>
      </c>
    </row>
    <row r="53" spans="2:5" ht="12.75" customHeight="1" thickBot="1">
      <c r="B53" s="188" t="s">
        <v>9</v>
      </c>
      <c r="C53" s="189" t="s">
        <v>41</v>
      </c>
      <c r="D53" s="210">
        <v>138.34</v>
      </c>
      <c r="E53" s="234">
        <v>133.5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13683.78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13683.78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13683.78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13683.78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162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96476.89</v>
      </c>
      <c r="E11" s="258">
        <f>E12</f>
        <v>30091.18</v>
      </c>
    </row>
    <row r="12" spans="2:5">
      <c r="B12" s="173" t="s">
        <v>4</v>
      </c>
      <c r="C12" s="174" t="s">
        <v>5</v>
      </c>
      <c r="D12" s="261">
        <v>96476.89</v>
      </c>
      <c r="E12" s="262">
        <v>30091.18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96476.89</v>
      </c>
      <c r="E21" s="149">
        <f>E11</f>
        <v>30091.18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95507.51</v>
      </c>
      <c r="E26" s="232">
        <f>D21</f>
        <v>96476.89</v>
      </c>
    </row>
    <row r="27" spans="2:6">
      <c r="B27" s="9" t="s">
        <v>17</v>
      </c>
      <c r="C27" s="10" t="s">
        <v>187</v>
      </c>
      <c r="D27" s="201">
        <v>-18914.68</v>
      </c>
      <c r="E27" s="225">
        <f>E28-E32</f>
        <v>-62816.51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18914.68</v>
      </c>
      <c r="E32" s="226">
        <f>E33+E35+E37+E39</f>
        <v>62816.51</v>
      </c>
      <c r="F32" s="72"/>
    </row>
    <row r="33" spans="2:6">
      <c r="B33" s="181" t="s">
        <v>4</v>
      </c>
      <c r="C33" s="174" t="s">
        <v>25</v>
      </c>
      <c r="D33" s="202">
        <v>16990.810000000001</v>
      </c>
      <c r="E33" s="227">
        <v>61453.17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32.76</v>
      </c>
      <c r="E35" s="227">
        <v>21.55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1891.11</v>
      </c>
      <c r="E37" s="227">
        <v>1341.79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19884.060000000001</v>
      </c>
      <c r="E40" s="233">
        <v>-3569.2</v>
      </c>
    </row>
    <row r="41" spans="2:6" ht="13.5" thickBot="1">
      <c r="B41" s="100" t="s">
        <v>37</v>
      </c>
      <c r="C41" s="101" t="s">
        <v>38</v>
      </c>
      <c r="D41" s="205">
        <v>96476.889999999985</v>
      </c>
      <c r="E41" s="149">
        <f>E26+E27+E40</f>
        <v>30091.179999999997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1184.9567</v>
      </c>
      <c r="E47" s="74">
        <v>987.98659999999995</v>
      </c>
    </row>
    <row r="48" spans="2:6">
      <c r="B48" s="186" t="s">
        <v>6</v>
      </c>
      <c r="C48" s="187" t="s">
        <v>41</v>
      </c>
      <c r="D48" s="207">
        <v>987.98659999999995</v>
      </c>
      <c r="E48" s="150">
        <v>357.20769999999999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80.599999999999994</v>
      </c>
      <c r="E50" s="76">
        <v>97.65</v>
      </c>
    </row>
    <row r="51" spans="2:5">
      <c r="B51" s="184" t="s">
        <v>6</v>
      </c>
      <c r="C51" s="185" t="s">
        <v>190</v>
      </c>
      <c r="D51" s="209">
        <v>80.52</v>
      </c>
      <c r="E51" s="76">
        <v>83.36</v>
      </c>
    </row>
    <row r="52" spans="2:5">
      <c r="B52" s="184" t="s">
        <v>8</v>
      </c>
      <c r="C52" s="185" t="s">
        <v>191</v>
      </c>
      <c r="D52" s="209">
        <v>97.99</v>
      </c>
      <c r="E52" s="76">
        <v>105.09</v>
      </c>
    </row>
    <row r="53" spans="2:5" ht="13.5" customHeight="1" thickBot="1">
      <c r="B53" s="188" t="s">
        <v>9</v>
      </c>
      <c r="C53" s="189" t="s">
        <v>41</v>
      </c>
      <c r="D53" s="210">
        <v>97.65</v>
      </c>
      <c r="E53" s="234">
        <v>84.24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30091.18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30091.18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30091.18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30091.18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265</v>
      </c>
      <c r="C6" s="356"/>
      <c r="D6" s="356"/>
      <c r="E6" s="356"/>
    </row>
    <row r="7" spans="2:5" ht="14.25">
      <c r="B7" s="221"/>
      <c r="C7" s="221"/>
      <c r="D7" s="221"/>
      <c r="E7" s="221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222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0</v>
      </c>
      <c r="E11" s="258">
        <f>E12</f>
        <v>9049.58</v>
      </c>
    </row>
    <row r="12" spans="2:5">
      <c r="B12" s="173" t="s">
        <v>4</v>
      </c>
      <c r="C12" s="174" t="s">
        <v>5</v>
      </c>
      <c r="D12" s="261">
        <v>0</v>
      </c>
      <c r="E12" s="262">
        <v>9049.58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0</v>
      </c>
      <c r="E21" s="149">
        <f>E11</f>
        <v>9049.58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22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0</v>
      </c>
      <c r="E26" s="232">
        <f>D21</f>
        <v>0</v>
      </c>
    </row>
    <row r="27" spans="2:6">
      <c r="B27" s="9" t="s">
        <v>17</v>
      </c>
      <c r="C27" s="10" t="s">
        <v>187</v>
      </c>
      <c r="D27" s="201">
        <v>0</v>
      </c>
      <c r="E27" s="225">
        <f>E28-E32</f>
        <v>12520.8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18806.95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18806.95</v>
      </c>
      <c r="F31" s="72"/>
    </row>
    <row r="32" spans="2:6">
      <c r="B32" s="93" t="s">
        <v>23</v>
      </c>
      <c r="C32" s="11" t="s">
        <v>24</v>
      </c>
      <c r="D32" s="201">
        <v>0</v>
      </c>
      <c r="E32" s="226">
        <f>E33+E35+E37+E39</f>
        <v>6286.1500000000005</v>
      </c>
      <c r="F32" s="72"/>
    </row>
    <row r="33" spans="2:6">
      <c r="B33" s="181" t="s">
        <v>4</v>
      </c>
      <c r="C33" s="174" t="s">
        <v>25</v>
      </c>
      <c r="D33" s="202"/>
      <c r="E33" s="227">
        <v>6001.52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>
        <v>64.790000000000006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>
        <v>219.84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0</v>
      </c>
      <c r="E40" s="233">
        <v>-3471.22</v>
      </c>
    </row>
    <row r="41" spans="2:6" ht="13.5" thickBot="1">
      <c r="B41" s="100" t="s">
        <v>37</v>
      </c>
      <c r="C41" s="101" t="s">
        <v>38</v>
      </c>
      <c r="D41" s="205">
        <v>0</v>
      </c>
      <c r="E41" s="149">
        <f>E26+E27+E40</f>
        <v>9049.58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2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/>
      <c r="E47" s="74"/>
    </row>
    <row r="48" spans="2:6">
      <c r="B48" s="186" t="s">
        <v>6</v>
      </c>
      <c r="C48" s="187" t="s">
        <v>41</v>
      </c>
      <c r="D48" s="207"/>
      <c r="E48" s="150">
        <v>52.231200000000001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/>
      <c r="E50" s="76"/>
    </row>
    <row r="51" spans="2:5">
      <c r="B51" s="184" t="s">
        <v>6</v>
      </c>
      <c r="C51" s="185" t="s">
        <v>190</v>
      </c>
      <c r="D51" s="209"/>
      <c r="E51" s="76">
        <v>166.12</v>
      </c>
    </row>
    <row r="52" spans="2:5">
      <c r="B52" s="184" t="s">
        <v>8</v>
      </c>
      <c r="C52" s="185" t="s">
        <v>191</v>
      </c>
      <c r="D52" s="209"/>
      <c r="E52" s="76">
        <v>223.2</v>
      </c>
    </row>
    <row r="53" spans="2:5" ht="13.5" customHeight="1" thickBot="1">
      <c r="B53" s="188" t="s">
        <v>9</v>
      </c>
      <c r="C53" s="189" t="s">
        <v>41</v>
      </c>
      <c r="D53" s="210"/>
      <c r="E53" s="234">
        <v>173.26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9049.58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9049.58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9049.58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9049.58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128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68499.899999999994</v>
      </c>
      <c r="E11" s="258">
        <f>E12</f>
        <v>257424.79</v>
      </c>
    </row>
    <row r="12" spans="2:5">
      <c r="B12" s="173" t="s">
        <v>4</v>
      </c>
      <c r="C12" s="174" t="s">
        <v>5</v>
      </c>
      <c r="D12" s="261">
        <v>68499.899999999994</v>
      </c>
      <c r="E12" s="262">
        <v>257424.79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68499.899999999994</v>
      </c>
      <c r="E21" s="149">
        <f>E11</f>
        <v>257424.79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12801.73</v>
      </c>
      <c r="E26" s="232">
        <f>D21</f>
        <v>68499.899999999994</v>
      </c>
    </row>
    <row r="27" spans="2:6">
      <c r="B27" s="9" t="s">
        <v>17</v>
      </c>
      <c r="C27" s="10" t="s">
        <v>187</v>
      </c>
      <c r="D27" s="201">
        <v>29702.48000000001</v>
      </c>
      <c r="E27" s="225">
        <f>E28-E32</f>
        <v>238139.97999999998</v>
      </c>
      <c r="F27" s="72"/>
    </row>
    <row r="28" spans="2:6">
      <c r="B28" s="9" t="s">
        <v>18</v>
      </c>
      <c r="C28" s="10" t="s">
        <v>19</v>
      </c>
      <c r="D28" s="201">
        <v>151249.69</v>
      </c>
      <c r="E28" s="226">
        <f>E29+E30+E31</f>
        <v>316245.17</v>
      </c>
      <c r="F28" s="72"/>
    </row>
    <row r="29" spans="2:6">
      <c r="B29" s="181" t="s">
        <v>4</v>
      </c>
      <c r="C29" s="174" t="s">
        <v>20</v>
      </c>
      <c r="D29" s="202"/>
      <c r="E29" s="227">
        <v>10000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151249.69</v>
      </c>
      <c r="E31" s="227">
        <v>306245.17</v>
      </c>
      <c r="F31" s="72"/>
    </row>
    <row r="32" spans="2:6">
      <c r="B32" s="93" t="s">
        <v>23</v>
      </c>
      <c r="C32" s="11" t="s">
        <v>24</v>
      </c>
      <c r="D32" s="201">
        <v>121547.20999999999</v>
      </c>
      <c r="E32" s="226">
        <f>E33+E35+E37+E39</f>
        <v>78105.19</v>
      </c>
      <c r="F32" s="72"/>
    </row>
    <row r="33" spans="2:6">
      <c r="B33" s="181" t="s">
        <v>4</v>
      </c>
      <c r="C33" s="174" t="s">
        <v>25</v>
      </c>
      <c r="D33" s="202">
        <v>119676.26</v>
      </c>
      <c r="E33" s="227">
        <v>25554.89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157.5</v>
      </c>
      <c r="E35" s="227">
        <v>477.73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1713.45</v>
      </c>
      <c r="E37" s="227">
        <v>3502.28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48570.29</v>
      </c>
      <c r="F39" s="72"/>
    </row>
    <row r="40" spans="2:6" ht="13.5" thickBot="1">
      <c r="B40" s="98" t="s">
        <v>35</v>
      </c>
      <c r="C40" s="99" t="s">
        <v>36</v>
      </c>
      <c r="D40" s="204">
        <v>25995.69</v>
      </c>
      <c r="E40" s="233">
        <v>-49215.09</v>
      </c>
    </row>
    <row r="41" spans="2:6" ht="13.5" thickBot="1">
      <c r="B41" s="100" t="s">
        <v>37</v>
      </c>
      <c r="C41" s="101" t="s">
        <v>38</v>
      </c>
      <c r="D41" s="205">
        <v>68499.900000000009</v>
      </c>
      <c r="E41" s="149">
        <f>E26+E27+E40</f>
        <v>257424.79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173.74770000000001</v>
      </c>
      <c r="E47" s="74">
        <v>672.3587</v>
      </c>
    </row>
    <row r="48" spans="2:6">
      <c r="B48" s="186" t="s">
        <v>6</v>
      </c>
      <c r="C48" s="187" t="s">
        <v>41</v>
      </c>
      <c r="D48" s="207">
        <v>672.3587</v>
      </c>
      <c r="E48" s="150">
        <v>2679.5544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73.680000000000007</v>
      </c>
      <c r="E50" s="76">
        <v>101.88</v>
      </c>
    </row>
    <row r="51" spans="2:5">
      <c r="B51" s="184" t="s">
        <v>6</v>
      </c>
      <c r="C51" s="185" t="s">
        <v>190</v>
      </c>
      <c r="D51" s="209">
        <v>73.680000000000007</v>
      </c>
      <c r="E51" s="76">
        <v>91.36</v>
      </c>
    </row>
    <row r="52" spans="2:5">
      <c r="B52" s="184" t="s">
        <v>8</v>
      </c>
      <c r="C52" s="185" t="s">
        <v>191</v>
      </c>
      <c r="D52" s="209">
        <v>109.82</v>
      </c>
      <c r="E52" s="76">
        <v>127.95</v>
      </c>
    </row>
    <row r="53" spans="2:5" ht="12.75" customHeight="1" thickBot="1">
      <c r="B53" s="188" t="s">
        <v>9</v>
      </c>
      <c r="C53" s="189" t="s">
        <v>41</v>
      </c>
      <c r="D53" s="210">
        <v>101.88</v>
      </c>
      <c r="E53" s="234">
        <v>96.07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257424.79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257424.79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257424.79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257424.79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259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 t="s">
        <v>206</v>
      </c>
      <c r="E11" s="258" t="str">
        <f>E12</f>
        <v>-</v>
      </c>
    </row>
    <row r="12" spans="2:5">
      <c r="B12" s="173" t="s">
        <v>4</v>
      </c>
      <c r="C12" s="174" t="s">
        <v>5</v>
      </c>
      <c r="D12" s="261" t="s">
        <v>206</v>
      </c>
      <c r="E12" s="262" t="s">
        <v>206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 t="s">
        <v>206</v>
      </c>
      <c r="E21" s="149" t="str">
        <f>E11</f>
        <v>-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46926.26</v>
      </c>
      <c r="E26" s="232" t="str">
        <f>D21</f>
        <v>-</v>
      </c>
    </row>
    <row r="27" spans="2:6">
      <c r="B27" s="9" t="s">
        <v>17</v>
      </c>
      <c r="C27" s="10" t="s">
        <v>187</v>
      </c>
      <c r="D27" s="201">
        <v>-48654.570000000007</v>
      </c>
      <c r="E27" s="225">
        <f>E28-E32</f>
        <v>0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48654.570000000007</v>
      </c>
      <c r="E32" s="226">
        <f>E33+E35+E37+E39</f>
        <v>0</v>
      </c>
      <c r="F32" s="72"/>
    </row>
    <row r="33" spans="2:6">
      <c r="B33" s="181" t="s">
        <v>4</v>
      </c>
      <c r="C33" s="174" t="s">
        <v>25</v>
      </c>
      <c r="D33" s="202">
        <v>38320.75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8.11</v>
      </c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858.12</v>
      </c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9467.59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1728.31</v>
      </c>
      <c r="E40" s="233">
        <v>0</v>
      </c>
    </row>
    <row r="41" spans="2:6" ht="13.5" thickBot="1">
      <c r="B41" s="100" t="s">
        <v>37</v>
      </c>
      <c r="C41" s="101" t="s">
        <v>38</v>
      </c>
      <c r="D41" s="205" t="s">
        <v>206</v>
      </c>
      <c r="E41" s="149" t="s">
        <v>206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369.12029999999999</v>
      </c>
      <c r="E47" s="74"/>
    </row>
    <row r="48" spans="2:6">
      <c r="B48" s="186" t="s">
        <v>6</v>
      </c>
      <c r="C48" s="187" t="s">
        <v>41</v>
      </c>
      <c r="D48" s="207"/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127.13</v>
      </c>
      <c r="E50" s="76"/>
    </row>
    <row r="51" spans="2:5">
      <c r="B51" s="184" t="s">
        <v>6</v>
      </c>
      <c r="C51" s="185" t="s">
        <v>190</v>
      </c>
      <c r="D51" s="209">
        <v>125.26</v>
      </c>
      <c r="E51" s="76"/>
    </row>
    <row r="52" spans="2:5">
      <c r="B52" s="184" t="s">
        <v>8</v>
      </c>
      <c r="C52" s="185" t="s">
        <v>191</v>
      </c>
      <c r="D52" s="209">
        <v>137.01</v>
      </c>
      <c r="E52" s="76"/>
    </row>
    <row r="53" spans="2:5" ht="12.75" customHeight="1" thickBot="1">
      <c r="B53" s="188" t="s">
        <v>9</v>
      </c>
      <c r="C53" s="189" t="s">
        <v>41</v>
      </c>
      <c r="D53" s="210"/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v>0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260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110929.34</v>
      </c>
      <c r="E11" s="258">
        <f>E12</f>
        <v>18073.759999999998</v>
      </c>
    </row>
    <row r="12" spans="2:5">
      <c r="B12" s="173" t="s">
        <v>4</v>
      </c>
      <c r="C12" s="174" t="s">
        <v>5</v>
      </c>
      <c r="D12" s="261">
        <v>110929.34</v>
      </c>
      <c r="E12" s="262">
        <v>18073.759999999998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110929.34</v>
      </c>
      <c r="E21" s="149">
        <f>E11</f>
        <v>18073.759999999998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51724.98</v>
      </c>
      <c r="E26" s="232">
        <f>D21</f>
        <v>110929.34</v>
      </c>
    </row>
    <row r="27" spans="2:6">
      <c r="B27" s="9" t="s">
        <v>17</v>
      </c>
      <c r="C27" s="10" t="s">
        <v>187</v>
      </c>
      <c r="D27" s="201">
        <v>39224.479999999996</v>
      </c>
      <c r="E27" s="225">
        <f>E28-E32</f>
        <v>-81297.08</v>
      </c>
      <c r="F27" s="72"/>
    </row>
    <row r="28" spans="2:6">
      <c r="B28" s="9" t="s">
        <v>18</v>
      </c>
      <c r="C28" s="10" t="s">
        <v>19</v>
      </c>
      <c r="D28" s="201">
        <v>81489.48</v>
      </c>
      <c r="E28" s="226">
        <f>E29+E30+E31</f>
        <v>1074.8900000000001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81489.48</v>
      </c>
      <c r="E31" s="227">
        <v>1074.8900000000001</v>
      </c>
      <c r="F31" s="72"/>
    </row>
    <row r="32" spans="2:6">
      <c r="B32" s="93" t="s">
        <v>23</v>
      </c>
      <c r="C32" s="11" t="s">
        <v>24</v>
      </c>
      <c r="D32" s="201">
        <v>42265</v>
      </c>
      <c r="E32" s="226">
        <f>E33+E35+E37+E39</f>
        <v>82371.97</v>
      </c>
      <c r="F32" s="72"/>
    </row>
    <row r="33" spans="2:6">
      <c r="B33" s="181" t="s">
        <v>4</v>
      </c>
      <c r="C33" s="174" t="s">
        <v>25</v>
      </c>
      <c r="D33" s="202"/>
      <c r="E33" s="227">
        <v>81078.25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62.18</v>
      </c>
      <c r="E35" s="227">
        <v>39.03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1915.59</v>
      </c>
      <c r="E37" s="227">
        <v>1254.69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40287.230000000003</v>
      </c>
      <c r="E39" s="228"/>
      <c r="F39" s="72"/>
    </row>
    <row r="40" spans="2:6" ht="15.75" customHeight="1" thickBot="1">
      <c r="B40" s="98" t="s">
        <v>35</v>
      </c>
      <c r="C40" s="99" t="s">
        <v>36</v>
      </c>
      <c r="D40" s="204">
        <v>19979.88</v>
      </c>
      <c r="E40" s="233">
        <v>-11558.5</v>
      </c>
    </row>
    <row r="41" spans="2:6" ht="13.5" thickBot="1">
      <c r="B41" s="100" t="s">
        <v>37</v>
      </c>
      <c r="C41" s="101" t="s">
        <v>38</v>
      </c>
      <c r="D41" s="205">
        <v>110929.34</v>
      </c>
      <c r="E41" s="149">
        <f>E26+E27+E40</f>
        <v>18073.759999999995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184.48830000000001</v>
      </c>
      <c r="E47" s="74">
        <v>315.49869999999999</v>
      </c>
    </row>
    <row r="48" spans="2:6">
      <c r="B48" s="186" t="s">
        <v>6</v>
      </c>
      <c r="C48" s="187" t="s">
        <v>41</v>
      </c>
      <c r="D48" s="207">
        <v>315.49869999999999</v>
      </c>
      <c r="E48" s="150">
        <v>61.5319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280.37</v>
      </c>
      <c r="E50" s="76">
        <v>351.6</v>
      </c>
    </row>
    <row r="51" spans="2:5">
      <c r="B51" s="184" t="s">
        <v>6</v>
      </c>
      <c r="C51" s="185" t="s">
        <v>190</v>
      </c>
      <c r="D51" s="209">
        <v>280.37</v>
      </c>
      <c r="E51" s="76">
        <v>283.16000000000003</v>
      </c>
    </row>
    <row r="52" spans="2:5">
      <c r="B52" s="184" t="s">
        <v>8</v>
      </c>
      <c r="C52" s="185" t="s">
        <v>191</v>
      </c>
      <c r="D52" s="209">
        <v>354.26</v>
      </c>
      <c r="E52" s="76">
        <v>369.84</v>
      </c>
    </row>
    <row r="53" spans="2:5" ht="13.5" thickBot="1">
      <c r="B53" s="188" t="s">
        <v>9</v>
      </c>
      <c r="C53" s="189" t="s">
        <v>41</v>
      </c>
      <c r="D53" s="210">
        <v>351.6</v>
      </c>
      <c r="E53" s="234">
        <v>293.73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18073.759999999998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18073.759999999998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18073.759999999998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18073.759999999998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211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 t="s">
        <v>206</v>
      </c>
      <c r="E11" s="258">
        <f>E12</f>
        <v>9361.31</v>
      </c>
    </row>
    <row r="12" spans="2:5">
      <c r="B12" s="173" t="s">
        <v>4</v>
      </c>
      <c r="C12" s="174" t="s">
        <v>5</v>
      </c>
      <c r="D12" s="261" t="s">
        <v>206</v>
      </c>
      <c r="E12" s="262">
        <v>9361.31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 t="s">
        <v>206</v>
      </c>
      <c r="E21" s="149">
        <f>E11</f>
        <v>9361.31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11009.59</v>
      </c>
      <c r="E26" s="232">
        <v>0</v>
      </c>
    </row>
    <row r="27" spans="2:6">
      <c r="B27" s="9" t="s">
        <v>17</v>
      </c>
      <c r="C27" s="10" t="s">
        <v>187</v>
      </c>
      <c r="D27" s="201">
        <v>-13290.470000000001</v>
      </c>
      <c r="E27" s="225">
        <f>E28-E32</f>
        <v>11177.859999999999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11292.39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11292.39</v>
      </c>
      <c r="F31" s="72"/>
    </row>
    <row r="32" spans="2:6">
      <c r="B32" s="93" t="s">
        <v>23</v>
      </c>
      <c r="C32" s="11" t="s">
        <v>24</v>
      </c>
      <c r="D32" s="201">
        <v>13290.470000000001</v>
      </c>
      <c r="E32" s="226">
        <f>E33+E35+E37+E39</f>
        <v>114.53</v>
      </c>
      <c r="F32" s="72"/>
    </row>
    <row r="33" spans="2:6">
      <c r="B33" s="181" t="s">
        <v>4</v>
      </c>
      <c r="C33" s="174" t="s">
        <v>25</v>
      </c>
      <c r="D33" s="202">
        <v>5768.31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52.63</v>
      </c>
      <c r="E35" s="227">
        <v>20.309999999999999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>
        <v>94.22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7469.53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2280.88</v>
      </c>
      <c r="E40" s="233">
        <v>-1816.55</v>
      </c>
    </row>
    <row r="41" spans="2:6" ht="13.5" thickBot="1">
      <c r="B41" s="100" t="s">
        <v>37</v>
      </c>
      <c r="C41" s="101" t="s">
        <v>38</v>
      </c>
      <c r="D41" s="205">
        <v>0</v>
      </c>
      <c r="E41" s="149">
        <f>E26+E27+E40</f>
        <v>9361.31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86.005700000000004</v>
      </c>
      <c r="E47" s="74"/>
    </row>
    <row r="48" spans="2:6">
      <c r="B48" s="186" t="s">
        <v>6</v>
      </c>
      <c r="C48" s="187" t="s">
        <v>41</v>
      </c>
      <c r="D48" s="207"/>
      <c r="E48" s="150">
        <v>59.293799999999997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128.01</v>
      </c>
      <c r="E50" s="76"/>
    </row>
    <row r="51" spans="2:5">
      <c r="B51" s="184" t="s">
        <v>6</v>
      </c>
      <c r="C51" s="185" t="s">
        <v>190</v>
      </c>
      <c r="D51" s="209">
        <v>128.5</v>
      </c>
      <c r="E51" s="76">
        <v>154.58000000000001</v>
      </c>
    </row>
    <row r="52" spans="2:5">
      <c r="B52" s="184" t="s">
        <v>8</v>
      </c>
      <c r="C52" s="185" t="s">
        <v>191</v>
      </c>
      <c r="D52" s="209">
        <v>175.86</v>
      </c>
      <c r="E52" s="76">
        <v>204.55</v>
      </c>
    </row>
    <row r="53" spans="2:5" ht="13.5" thickBot="1">
      <c r="B53" s="188" t="s">
        <v>9</v>
      </c>
      <c r="C53" s="189" t="s">
        <v>41</v>
      </c>
      <c r="D53" s="210"/>
      <c r="E53" s="234">
        <v>157.88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9361.31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9361.31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9361.31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9361.31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147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10044.700000000001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10044.700000000001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10044.700000000001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28221.35</v>
      </c>
      <c r="E26" s="232">
        <f>D21</f>
        <v>10044.700000000001</v>
      </c>
    </row>
    <row r="27" spans="2:6">
      <c r="B27" s="9" t="s">
        <v>17</v>
      </c>
      <c r="C27" s="10" t="s">
        <v>187</v>
      </c>
      <c r="D27" s="201">
        <v>-29512.799999999996</v>
      </c>
      <c r="E27" s="225">
        <f>E28-E32</f>
        <v>-9788.75</v>
      </c>
      <c r="F27" s="72"/>
    </row>
    <row r="28" spans="2:6">
      <c r="B28" s="9" t="s">
        <v>18</v>
      </c>
      <c r="C28" s="10" t="s">
        <v>19</v>
      </c>
      <c r="D28" s="201">
        <v>42500.62</v>
      </c>
      <c r="E28" s="226">
        <f>E29+E30+E31</f>
        <v>8692.43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42500.62</v>
      </c>
      <c r="E31" s="227">
        <v>8692.43</v>
      </c>
      <c r="F31" s="72"/>
    </row>
    <row r="32" spans="2:6">
      <c r="B32" s="93" t="s">
        <v>23</v>
      </c>
      <c r="C32" s="11" t="s">
        <v>24</v>
      </c>
      <c r="D32" s="201">
        <v>72013.42</v>
      </c>
      <c r="E32" s="226">
        <f>E33+E35+E37+E39</f>
        <v>18481.18</v>
      </c>
      <c r="F32" s="72"/>
    </row>
    <row r="33" spans="2:6">
      <c r="B33" s="181" t="s">
        <v>4</v>
      </c>
      <c r="C33" s="174" t="s">
        <v>25</v>
      </c>
      <c r="D33" s="202">
        <v>21145.73</v>
      </c>
      <c r="E33" s="227">
        <v>0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154.91999999999999</v>
      </c>
      <c r="E35" s="227">
        <v>5.8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899.43</v>
      </c>
      <c r="E37" s="227">
        <v>60.89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49813.34</v>
      </c>
      <c r="E39" s="228">
        <v>18414.490000000002</v>
      </c>
      <c r="F39" s="72"/>
    </row>
    <row r="40" spans="2:6" ht="13.5" thickBot="1">
      <c r="B40" s="98" t="s">
        <v>35</v>
      </c>
      <c r="C40" s="99" t="s">
        <v>36</v>
      </c>
      <c r="D40" s="204">
        <v>11336.15</v>
      </c>
      <c r="E40" s="233">
        <v>-255.95</v>
      </c>
    </row>
    <row r="41" spans="2:6" ht="13.5" thickBot="1">
      <c r="B41" s="100" t="s">
        <v>37</v>
      </c>
      <c r="C41" s="101" t="s">
        <v>38</v>
      </c>
      <c r="D41" s="205">
        <v>10044.700000000003</v>
      </c>
      <c r="E41" s="149" t="s">
        <v>206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2290.694</v>
      </c>
      <c r="E47" s="74">
        <v>637.75900000000001</v>
      </c>
    </row>
    <row r="48" spans="2:6">
      <c r="B48" s="186" t="s">
        <v>6</v>
      </c>
      <c r="C48" s="187" t="s">
        <v>41</v>
      </c>
      <c r="D48" s="207">
        <v>637.75900000000001</v>
      </c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12.32</v>
      </c>
      <c r="E50" s="76">
        <v>15.75</v>
      </c>
    </row>
    <row r="51" spans="2:5">
      <c r="B51" s="184" t="s">
        <v>6</v>
      </c>
      <c r="C51" s="185" t="s">
        <v>190</v>
      </c>
      <c r="D51" s="209">
        <v>12.32</v>
      </c>
      <c r="E51" s="76">
        <v>15.01</v>
      </c>
    </row>
    <row r="52" spans="2:5">
      <c r="B52" s="184" t="s">
        <v>8</v>
      </c>
      <c r="C52" s="185" t="s">
        <v>191</v>
      </c>
      <c r="D52" s="209">
        <v>15.95</v>
      </c>
      <c r="E52" s="76">
        <v>17.3</v>
      </c>
    </row>
    <row r="53" spans="2:5" ht="13.5" customHeight="1" thickBot="1">
      <c r="B53" s="188" t="s">
        <v>9</v>
      </c>
      <c r="C53" s="189" t="s">
        <v>41</v>
      </c>
      <c r="D53" s="210">
        <v>15.75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0</v>
      </c>
      <c r="E76" s="80">
        <f>E74</f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6"/>
      <c r="C4" s="86"/>
      <c r="D4" s="86"/>
      <c r="E4" s="86"/>
    </row>
    <row r="5" spans="2:5" ht="21" customHeight="1">
      <c r="B5" s="355" t="s">
        <v>268</v>
      </c>
      <c r="C5" s="355"/>
      <c r="D5" s="355"/>
      <c r="E5" s="355"/>
    </row>
    <row r="6" spans="2:5" ht="14.25">
      <c r="B6" s="356" t="s">
        <v>92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269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87"/>
      <c r="C10" s="77" t="s">
        <v>2</v>
      </c>
      <c r="D10" s="71" t="s">
        <v>223</v>
      </c>
      <c r="E10" s="29" t="s">
        <v>267</v>
      </c>
    </row>
    <row r="11" spans="2:5">
      <c r="B11" s="91" t="s">
        <v>270</v>
      </c>
      <c r="C11" s="129" t="s">
        <v>185</v>
      </c>
      <c r="D11" s="257">
        <v>27801180.699999999</v>
      </c>
      <c r="E11" s="258">
        <f>E12+E13+E14</f>
        <v>20436417.82</v>
      </c>
    </row>
    <row r="12" spans="2:5">
      <c r="B12" s="107">
        <v>1</v>
      </c>
      <c r="C12" s="6" t="s">
        <v>5</v>
      </c>
      <c r="D12" s="261">
        <v>27789577.609999999</v>
      </c>
      <c r="E12" s="262">
        <f>20421339.67-2791.94</f>
        <v>20418547.73</v>
      </c>
    </row>
    <row r="13" spans="2:5">
      <c r="B13" s="107">
        <v>2</v>
      </c>
      <c r="C13" s="69" t="s">
        <v>7</v>
      </c>
      <c r="D13" s="261"/>
      <c r="E13" s="262"/>
    </row>
    <row r="14" spans="2:5">
      <c r="B14" s="107">
        <v>3</v>
      </c>
      <c r="C14" s="69" t="s">
        <v>10</v>
      </c>
      <c r="D14" s="261">
        <v>11603.09</v>
      </c>
      <c r="E14" s="262">
        <f>E15</f>
        <v>17870.09</v>
      </c>
    </row>
    <row r="15" spans="2:5">
      <c r="B15" s="107">
        <v>31</v>
      </c>
      <c r="C15" s="69" t="s">
        <v>11</v>
      </c>
      <c r="D15" s="261">
        <v>11603.09</v>
      </c>
      <c r="E15" s="262">
        <v>17870.09</v>
      </c>
    </row>
    <row r="16" spans="2:5">
      <c r="B16" s="108">
        <v>32</v>
      </c>
      <c r="C16" s="92" t="s">
        <v>12</v>
      </c>
      <c r="D16" s="263"/>
      <c r="E16" s="264"/>
    </row>
    <row r="17" spans="2:6">
      <c r="B17" s="9" t="s">
        <v>271</v>
      </c>
      <c r="C17" s="11" t="s">
        <v>65</v>
      </c>
      <c r="D17" s="296">
        <v>6374.95</v>
      </c>
      <c r="E17" s="266">
        <f>SUM(E18:E20)</f>
        <v>11251.35</v>
      </c>
    </row>
    <row r="18" spans="2:6">
      <c r="B18" s="107">
        <v>1</v>
      </c>
      <c r="C18" s="6" t="s">
        <v>11</v>
      </c>
      <c r="D18" s="261">
        <v>6374.95</v>
      </c>
      <c r="E18" s="306">
        <v>11251.35</v>
      </c>
    </row>
    <row r="19" spans="2:6" ht="15" customHeight="1">
      <c r="B19" s="107">
        <v>2</v>
      </c>
      <c r="C19" s="69" t="s">
        <v>184</v>
      </c>
      <c r="D19" s="261"/>
      <c r="E19" s="262"/>
    </row>
    <row r="20" spans="2:6" ht="13.5" thickBot="1">
      <c r="B20" s="109">
        <v>3</v>
      </c>
      <c r="C20" s="70" t="s">
        <v>14</v>
      </c>
      <c r="D20" s="267"/>
      <c r="E20" s="268"/>
    </row>
    <row r="21" spans="2:6" ht="13.5" thickBot="1">
      <c r="B21" s="364" t="s">
        <v>272</v>
      </c>
      <c r="C21" s="365"/>
      <c r="D21" s="269">
        <v>27794805.75</v>
      </c>
      <c r="E21" s="149">
        <f>E11-E17</f>
        <v>20425166.469999999</v>
      </c>
      <c r="F21" s="78"/>
    </row>
    <row r="22" spans="2:6">
      <c r="B22" s="3"/>
      <c r="C22" s="7"/>
      <c r="D22" s="8"/>
      <c r="E22" s="8"/>
    </row>
    <row r="23" spans="2:6" ht="13.5">
      <c r="B23" s="358" t="s">
        <v>273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7"/>
      <c r="C25" s="5" t="s">
        <v>2</v>
      </c>
      <c r="D25" s="71" t="s">
        <v>223</v>
      </c>
      <c r="E25" s="29" t="s">
        <v>267</v>
      </c>
    </row>
    <row r="26" spans="2:6">
      <c r="B26" s="96" t="s">
        <v>274</v>
      </c>
      <c r="C26" s="97" t="s">
        <v>16</v>
      </c>
      <c r="D26" s="318">
        <v>32043769.25</v>
      </c>
      <c r="E26" s="232">
        <f>D21</f>
        <v>27794805.75</v>
      </c>
    </row>
    <row r="27" spans="2:6">
      <c r="B27" s="9" t="s">
        <v>275</v>
      </c>
      <c r="C27" s="10" t="s">
        <v>187</v>
      </c>
      <c r="D27" s="319">
        <v>-6263279.0600000015</v>
      </c>
      <c r="E27" s="225">
        <f>E28-E32</f>
        <v>-6127291.2999999989</v>
      </c>
      <c r="F27" s="72"/>
    </row>
    <row r="28" spans="2:6">
      <c r="B28" s="9" t="s">
        <v>269</v>
      </c>
      <c r="C28" s="10" t="s">
        <v>19</v>
      </c>
      <c r="D28" s="319">
        <v>2461083.79</v>
      </c>
      <c r="E28" s="226">
        <v>1904071.9100000001</v>
      </c>
      <c r="F28" s="72"/>
    </row>
    <row r="29" spans="2:6">
      <c r="B29" s="105">
        <v>1</v>
      </c>
      <c r="C29" s="6" t="s">
        <v>20</v>
      </c>
      <c r="D29" s="320">
        <v>1723287.5999999999</v>
      </c>
      <c r="E29" s="227">
        <v>1340032.96</v>
      </c>
      <c r="F29" s="72"/>
    </row>
    <row r="30" spans="2:6">
      <c r="B30" s="105">
        <v>2</v>
      </c>
      <c r="C30" s="6" t="s">
        <v>21</v>
      </c>
      <c r="D30" s="320"/>
      <c r="E30" s="227"/>
      <c r="F30" s="72"/>
    </row>
    <row r="31" spans="2:6">
      <c r="B31" s="105">
        <v>3</v>
      </c>
      <c r="C31" s="6" t="s">
        <v>22</v>
      </c>
      <c r="D31" s="320">
        <v>737796.19000000006</v>
      </c>
      <c r="E31" s="227">
        <v>564038.94999999995</v>
      </c>
      <c r="F31" s="72"/>
    </row>
    <row r="32" spans="2:6">
      <c r="B32" s="93" t="s">
        <v>276</v>
      </c>
      <c r="C32" s="11" t="s">
        <v>24</v>
      </c>
      <c r="D32" s="319">
        <v>8724362.8500000015</v>
      </c>
      <c r="E32" s="226">
        <f>SUM(E33:E39)</f>
        <v>8031363.209999999</v>
      </c>
      <c r="F32" s="72"/>
    </row>
    <row r="33" spans="2:6">
      <c r="B33" s="105">
        <v>1</v>
      </c>
      <c r="C33" s="6" t="s">
        <v>25</v>
      </c>
      <c r="D33" s="320">
        <v>7603454.1800000006</v>
      </c>
      <c r="E33" s="227">
        <f>7316167.14-93.2</f>
        <v>7316073.9399999995</v>
      </c>
      <c r="F33" s="72"/>
    </row>
    <row r="34" spans="2:6">
      <c r="B34" s="105">
        <v>2</v>
      </c>
      <c r="C34" s="6" t="s">
        <v>26</v>
      </c>
      <c r="D34" s="320"/>
      <c r="E34" s="227"/>
      <c r="F34" s="72"/>
    </row>
    <row r="35" spans="2:6">
      <c r="B35" s="105">
        <v>3</v>
      </c>
      <c r="C35" s="6" t="s">
        <v>27</v>
      </c>
      <c r="D35" s="320">
        <v>119933.94</v>
      </c>
      <c r="E35" s="227">
        <v>133828.62</v>
      </c>
      <c r="F35" s="72"/>
    </row>
    <row r="36" spans="2:6">
      <c r="B36" s="105">
        <v>4</v>
      </c>
      <c r="C36" s="6" t="s">
        <v>28</v>
      </c>
      <c r="D36" s="320"/>
      <c r="E36" s="227"/>
      <c r="F36" s="72"/>
    </row>
    <row r="37" spans="2:6" ht="25.5">
      <c r="B37" s="105">
        <v>5</v>
      </c>
      <c r="C37" s="6" t="s">
        <v>30</v>
      </c>
      <c r="D37" s="320">
        <v>520878.4</v>
      </c>
      <c r="E37" s="227">
        <v>391949.85000000003</v>
      </c>
      <c r="F37" s="72"/>
    </row>
    <row r="38" spans="2:6">
      <c r="B38" s="105">
        <v>6</v>
      </c>
      <c r="C38" s="6" t="s">
        <v>32</v>
      </c>
      <c r="D38" s="320"/>
      <c r="E38" s="227"/>
      <c r="F38" s="72"/>
    </row>
    <row r="39" spans="2:6">
      <c r="B39" s="106">
        <v>7</v>
      </c>
      <c r="C39" s="12" t="s">
        <v>34</v>
      </c>
      <c r="D39" s="321">
        <v>480096.33</v>
      </c>
      <c r="E39" s="228">
        <v>189510.8</v>
      </c>
      <c r="F39" s="72"/>
    </row>
    <row r="40" spans="2:6" ht="13.5" thickBot="1">
      <c r="B40" s="98" t="s">
        <v>277</v>
      </c>
      <c r="C40" s="99" t="s">
        <v>36</v>
      </c>
      <c r="D40" s="322">
        <v>2014315.56</v>
      </c>
      <c r="E40" s="233">
        <v>-1242347.98</v>
      </c>
    </row>
    <row r="41" spans="2:6" ht="13.5" thickBot="1">
      <c r="B41" s="100" t="s">
        <v>278</v>
      </c>
      <c r="C41" s="101" t="s">
        <v>38</v>
      </c>
      <c r="D41" s="269">
        <v>27794805.749999996</v>
      </c>
      <c r="E41" s="149">
        <f>E26+E27+E40</f>
        <v>20425166.470000003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279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269</v>
      </c>
      <c r="C46" s="31" t="s">
        <v>188</v>
      </c>
      <c r="D46" s="102"/>
      <c r="E46" s="28"/>
    </row>
    <row r="47" spans="2:6">
      <c r="B47" s="103">
        <v>1</v>
      </c>
      <c r="C47" s="15" t="s">
        <v>40</v>
      </c>
      <c r="D47" s="287">
        <v>246897.13389999999</v>
      </c>
      <c r="E47" s="74">
        <v>200882.4307</v>
      </c>
    </row>
    <row r="48" spans="2:6">
      <c r="B48" s="124">
        <v>2</v>
      </c>
      <c r="C48" s="22" t="s">
        <v>41</v>
      </c>
      <c r="D48" s="290">
        <v>200882.4307</v>
      </c>
      <c r="E48" s="302">
        <v>155682.65416000001</v>
      </c>
    </row>
    <row r="49" spans="2:5">
      <c r="B49" s="121" t="s">
        <v>276</v>
      </c>
      <c r="C49" s="125" t="s">
        <v>189</v>
      </c>
      <c r="D49" s="289"/>
      <c r="E49" s="126"/>
    </row>
    <row r="50" spans="2:5">
      <c r="B50" s="103">
        <v>1</v>
      </c>
      <c r="C50" s="15" t="s">
        <v>40</v>
      </c>
      <c r="D50" s="323">
        <v>129.78591020657899</v>
      </c>
      <c r="E50" s="74">
        <v>138.36354752522999</v>
      </c>
    </row>
    <row r="51" spans="2:5">
      <c r="B51" s="103">
        <v>2</v>
      </c>
      <c r="C51" s="15" t="s">
        <v>190</v>
      </c>
      <c r="D51" s="324">
        <v>129.7859</v>
      </c>
      <c r="E51" s="235">
        <v>130.3809</v>
      </c>
    </row>
    <row r="52" spans="2:5" ht="12.75" customHeight="1">
      <c r="B52" s="103">
        <v>3</v>
      </c>
      <c r="C52" s="15" t="s">
        <v>191</v>
      </c>
      <c r="D52" s="324">
        <v>138.6404</v>
      </c>
      <c r="E52" s="235">
        <v>140.15559999999999</v>
      </c>
    </row>
    <row r="53" spans="2:5" ht="13.5" thickBot="1">
      <c r="B53" s="104">
        <v>4</v>
      </c>
      <c r="C53" s="17" t="s">
        <v>41</v>
      </c>
      <c r="D53" s="210">
        <v>138.36354752522999</v>
      </c>
      <c r="E53" s="234">
        <v>131.197445090125</v>
      </c>
    </row>
    <row r="54" spans="2:5">
      <c r="B54" s="110"/>
      <c r="C54" s="111"/>
      <c r="D54" s="112"/>
      <c r="E54" s="112"/>
    </row>
    <row r="55" spans="2:5" ht="13.5">
      <c r="B55" s="359" t="s">
        <v>280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269</v>
      </c>
      <c r="C58" s="127" t="s">
        <v>43</v>
      </c>
      <c r="D58" s="128">
        <f>SUM(D59:D70)</f>
        <v>20418547.73</v>
      </c>
      <c r="E58" s="32">
        <f>D58/E21</f>
        <v>0.99967595172310009</v>
      </c>
    </row>
    <row r="59" spans="2:5" ht="25.5">
      <c r="B59" s="21">
        <v>1</v>
      </c>
      <c r="C59" s="22" t="s">
        <v>44</v>
      </c>
      <c r="D59" s="81">
        <v>0</v>
      </c>
      <c r="E59" s="82">
        <v>0</v>
      </c>
    </row>
    <row r="60" spans="2:5" ht="24" customHeight="1">
      <c r="B60" s="14">
        <v>2</v>
      </c>
      <c r="C60" s="15" t="s">
        <v>45</v>
      </c>
      <c r="D60" s="79">
        <v>0</v>
      </c>
      <c r="E60" s="80">
        <v>0</v>
      </c>
    </row>
    <row r="61" spans="2:5">
      <c r="B61" s="14">
        <v>3</v>
      </c>
      <c r="C61" s="15" t="s">
        <v>46</v>
      </c>
      <c r="D61" s="79">
        <v>0</v>
      </c>
      <c r="E61" s="80">
        <v>0</v>
      </c>
    </row>
    <row r="62" spans="2:5">
      <c r="B62" s="14">
        <v>4</v>
      </c>
      <c r="C62" s="15" t="s">
        <v>47</v>
      </c>
      <c r="D62" s="79">
        <v>0</v>
      </c>
      <c r="E62" s="80">
        <v>0</v>
      </c>
    </row>
    <row r="63" spans="2:5">
      <c r="B63" s="14">
        <v>5</v>
      </c>
      <c r="C63" s="15" t="s">
        <v>48</v>
      </c>
      <c r="D63" s="79">
        <v>0</v>
      </c>
      <c r="E63" s="80">
        <v>0</v>
      </c>
    </row>
    <row r="64" spans="2:5">
      <c r="B64" s="21">
        <v>6</v>
      </c>
      <c r="C64" s="22" t="s">
        <v>49</v>
      </c>
      <c r="D64" s="298">
        <f>20129991.26-2791.94</f>
        <v>20127199.32</v>
      </c>
      <c r="E64" s="82">
        <f>D64/E21</f>
        <v>0.9854117639414276</v>
      </c>
    </row>
    <row r="65" spans="2:5">
      <c r="B65" s="21">
        <v>7</v>
      </c>
      <c r="C65" s="22" t="s">
        <v>194</v>
      </c>
      <c r="D65" s="81">
        <v>0</v>
      </c>
      <c r="E65" s="82">
        <v>0</v>
      </c>
    </row>
    <row r="66" spans="2:5">
      <c r="B66" s="21">
        <v>8</v>
      </c>
      <c r="C66" s="22" t="s">
        <v>51</v>
      </c>
      <c r="D66" s="81">
        <v>0</v>
      </c>
      <c r="E66" s="82">
        <v>0</v>
      </c>
    </row>
    <row r="67" spans="2:5">
      <c r="B67" s="14">
        <v>9</v>
      </c>
      <c r="C67" s="15" t="s">
        <v>53</v>
      </c>
      <c r="D67" s="79">
        <v>0</v>
      </c>
      <c r="E67" s="80">
        <v>0</v>
      </c>
    </row>
    <row r="68" spans="2:5">
      <c r="B68" s="14">
        <v>10</v>
      </c>
      <c r="C68" s="15" t="s">
        <v>55</v>
      </c>
      <c r="D68" s="79">
        <v>0</v>
      </c>
      <c r="E68" s="80">
        <v>0</v>
      </c>
    </row>
    <row r="69" spans="2:5">
      <c r="B69" s="14">
        <v>11</v>
      </c>
      <c r="C69" s="15" t="s">
        <v>57</v>
      </c>
      <c r="D69" s="325">
        <v>291348.40999999997</v>
      </c>
      <c r="E69" s="80">
        <f>D69/E21</f>
        <v>1.4264187781672459E-2</v>
      </c>
    </row>
    <row r="70" spans="2:5">
      <c r="B70" s="113">
        <v>12</v>
      </c>
      <c r="C70" s="114" t="s">
        <v>59</v>
      </c>
      <c r="D70" s="115">
        <v>0</v>
      </c>
      <c r="E70" s="116">
        <v>0</v>
      </c>
    </row>
    <row r="71" spans="2:5">
      <c r="B71" s="121" t="s">
        <v>276</v>
      </c>
      <c r="C71" s="122" t="s">
        <v>61</v>
      </c>
      <c r="D71" s="123">
        <f>E13</f>
        <v>0</v>
      </c>
      <c r="E71" s="67">
        <f>D71/E21</f>
        <v>0</v>
      </c>
    </row>
    <row r="72" spans="2:5">
      <c r="B72" s="117" t="s">
        <v>279</v>
      </c>
      <c r="C72" s="118" t="s">
        <v>63</v>
      </c>
      <c r="D72" s="119">
        <f>E14</f>
        <v>17870.09</v>
      </c>
      <c r="E72" s="120">
        <f>D72/E21</f>
        <v>8.7490547635179204E-4</v>
      </c>
    </row>
    <row r="73" spans="2:5">
      <c r="B73" s="23" t="s">
        <v>280</v>
      </c>
      <c r="C73" s="24" t="s">
        <v>65</v>
      </c>
      <c r="D73" s="25">
        <f>E17</f>
        <v>11251.35</v>
      </c>
      <c r="E73" s="26">
        <f>D73/E21</f>
        <v>5.5085719945175066E-4</v>
      </c>
    </row>
    <row r="74" spans="2:5">
      <c r="B74" s="121" t="s">
        <v>281</v>
      </c>
      <c r="C74" s="122" t="s">
        <v>66</v>
      </c>
      <c r="D74" s="123">
        <f>D58+D71+D72-D73</f>
        <v>20425166.469999999</v>
      </c>
      <c r="E74" s="67">
        <f>E58+E72-E73</f>
        <v>1.0000000000000002</v>
      </c>
    </row>
    <row r="75" spans="2:5">
      <c r="B75" s="14">
        <v>1</v>
      </c>
      <c r="C75" s="15" t="s">
        <v>67</v>
      </c>
      <c r="D75" s="79">
        <f>D74</f>
        <v>20425166.469999999</v>
      </c>
      <c r="E75" s="80">
        <f>E74</f>
        <v>1.0000000000000002</v>
      </c>
    </row>
    <row r="76" spans="2:5">
      <c r="B76" s="14">
        <v>2</v>
      </c>
      <c r="C76" s="15" t="s">
        <v>195</v>
      </c>
      <c r="D76" s="79">
        <v>0</v>
      </c>
      <c r="E76" s="80">
        <v>0</v>
      </c>
    </row>
    <row r="77" spans="2:5" ht="13.5" thickBot="1">
      <c r="B77" s="16">
        <v>3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145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6841466.8399999999</v>
      </c>
      <c r="E11" s="258">
        <f>E12</f>
        <v>5624189.2999999998</v>
      </c>
    </row>
    <row r="12" spans="2:5">
      <c r="B12" s="173" t="s">
        <v>4</v>
      </c>
      <c r="C12" s="174" t="s">
        <v>5</v>
      </c>
      <c r="D12" s="261">
        <v>6841466.8399999999</v>
      </c>
      <c r="E12" s="262">
        <v>5624189.2999999998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6841466.8399999999</v>
      </c>
      <c r="E21" s="149">
        <f>E11</f>
        <v>5624189.2999999998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7933746.6600000001</v>
      </c>
      <c r="E26" s="232">
        <f>D21</f>
        <v>6841466.8399999999</v>
      </c>
    </row>
    <row r="27" spans="2:6">
      <c r="B27" s="9" t="s">
        <v>17</v>
      </c>
      <c r="C27" s="10" t="s">
        <v>187</v>
      </c>
      <c r="D27" s="201">
        <v>-1197655.9300000002</v>
      </c>
      <c r="E27" s="225">
        <f>E28-E32</f>
        <v>-1226064.1099999999</v>
      </c>
      <c r="F27" s="72"/>
    </row>
    <row r="28" spans="2:6">
      <c r="B28" s="9" t="s">
        <v>18</v>
      </c>
      <c r="C28" s="10" t="s">
        <v>19</v>
      </c>
      <c r="D28" s="201">
        <v>503793.61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503793.61</v>
      </c>
      <c r="E31" s="227"/>
      <c r="F31" s="72"/>
    </row>
    <row r="32" spans="2:6">
      <c r="B32" s="93" t="s">
        <v>23</v>
      </c>
      <c r="C32" s="11" t="s">
        <v>24</v>
      </c>
      <c r="D32" s="201">
        <v>1701449.54</v>
      </c>
      <c r="E32" s="226">
        <f>E33+E35+E37+E39</f>
        <v>1226064.1099999999</v>
      </c>
      <c r="F32" s="72"/>
    </row>
    <row r="33" spans="2:6">
      <c r="B33" s="181" t="s">
        <v>4</v>
      </c>
      <c r="C33" s="174" t="s">
        <v>25</v>
      </c>
      <c r="D33" s="202">
        <v>1475575.98</v>
      </c>
      <c r="E33" s="227">
        <v>740881.88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3911.33</v>
      </c>
      <c r="E35" s="227">
        <v>5012.08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125754.71</v>
      </c>
      <c r="E37" s="227">
        <v>101597.9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96207.52</v>
      </c>
      <c r="E39" s="228">
        <v>378572.25</v>
      </c>
      <c r="F39" s="72"/>
    </row>
    <row r="40" spans="2:6" ht="13.5" thickBot="1">
      <c r="B40" s="98" t="s">
        <v>35</v>
      </c>
      <c r="C40" s="99" t="s">
        <v>36</v>
      </c>
      <c r="D40" s="204">
        <v>105376.11</v>
      </c>
      <c r="E40" s="233">
        <v>8786.57</v>
      </c>
    </row>
    <row r="41" spans="2:6" ht="13.5" thickBot="1">
      <c r="B41" s="100" t="s">
        <v>37</v>
      </c>
      <c r="C41" s="101" t="s">
        <v>38</v>
      </c>
      <c r="D41" s="205">
        <v>6841466.8400000008</v>
      </c>
      <c r="E41" s="149">
        <f>E26+E27+E40</f>
        <v>5624189.3000000007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563076.41299999994</v>
      </c>
      <c r="E47" s="74">
        <v>480440.087</v>
      </c>
    </row>
    <row r="48" spans="2:6">
      <c r="B48" s="186" t="s">
        <v>6</v>
      </c>
      <c r="C48" s="187" t="s">
        <v>41</v>
      </c>
      <c r="D48" s="207">
        <v>480440.087</v>
      </c>
      <c r="E48" s="150">
        <v>394679.951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14.09</v>
      </c>
      <c r="E50" s="76">
        <v>14.24</v>
      </c>
    </row>
    <row r="51" spans="2:5">
      <c r="B51" s="184" t="s">
        <v>6</v>
      </c>
      <c r="C51" s="185" t="s">
        <v>190</v>
      </c>
      <c r="D51" s="209">
        <v>13.79</v>
      </c>
      <c r="E51" s="76">
        <v>13.67</v>
      </c>
    </row>
    <row r="52" spans="2:5">
      <c r="B52" s="184" t="s">
        <v>8</v>
      </c>
      <c r="C52" s="185" t="s">
        <v>191</v>
      </c>
      <c r="D52" s="209">
        <v>14.78</v>
      </c>
      <c r="E52" s="76">
        <v>14.5</v>
      </c>
    </row>
    <row r="53" spans="2:5" ht="14.25" customHeight="1" thickBot="1">
      <c r="B53" s="188" t="s">
        <v>9</v>
      </c>
      <c r="C53" s="189" t="s">
        <v>41</v>
      </c>
      <c r="D53" s="210">
        <v>14.24</v>
      </c>
      <c r="E53" s="234">
        <v>14.25</v>
      </c>
    </row>
    <row r="54" spans="2:5">
      <c r="B54" s="190"/>
      <c r="C54" s="19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5624189.2999999998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5624189.2999999998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5624189.2999999998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5624189.2999999998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146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11673425.619999999</v>
      </c>
      <c r="E11" s="258">
        <f>E12</f>
        <v>8455491.9800000004</v>
      </c>
    </row>
    <row r="12" spans="2:5">
      <c r="B12" s="173" t="s">
        <v>4</v>
      </c>
      <c r="C12" s="174" t="s">
        <v>5</v>
      </c>
      <c r="D12" s="261">
        <v>11673425.619999999</v>
      </c>
      <c r="E12" s="262">
        <f>8455536.52-44.54</f>
        <v>8455491.9800000004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11673425.619999999</v>
      </c>
      <c r="E21" s="149">
        <f>E11</f>
        <v>8455491.9800000004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10676382.380000001</v>
      </c>
      <c r="E26" s="232">
        <f>D21</f>
        <v>11673425.619999999</v>
      </c>
    </row>
    <row r="27" spans="2:6">
      <c r="B27" s="9" t="s">
        <v>17</v>
      </c>
      <c r="C27" s="10" t="s">
        <v>187</v>
      </c>
      <c r="D27" s="201">
        <v>620575.40000000037</v>
      </c>
      <c r="E27" s="225">
        <f>E28-E32</f>
        <v>-3077698.42</v>
      </c>
      <c r="F27" s="72"/>
    </row>
    <row r="28" spans="2:6">
      <c r="B28" s="9" t="s">
        <v>18</v>
      </c>
      <c r="C28" s="10" t="s">
        <v>19</v>
      </c>
      <c r="D28" s="201">
        <v>5567845.6799999997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>
        <v>250000.04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5317845.6399999997</v>
      </c>
      <c r="E31" s="227"/>
      <c r="F31" s="72"/>
    </row>
    <row r="32" spans="2:6">
      <c r="B32" s="93" t="s">
        <v>23</v>
      </c>
      <c r="C32" s="11" t="s">
        <v>24</v>
      </c>
      <c r="D32" s="201">
        <v>4947270.2799999993</v>
      </c>
      <c r="E32" s="226">
        <f>E33+E35+E37+E39</f>
        <v>3077698.42</v>
      </c>
      <c r="F32" s="72"/>
    </row>
    <row r="33" spans="2:6">
      <c r="B33" s="181" t="s">
        <v>4</v>
      </c>
      <c r="C33" s="174" t="s">
        <v>25</v>
      </c>
      <c r="D33" s="202">
        <v>3358430.88</v>
      </c>
      <c r="E33" s="227">
        <f>1665984.04-0.69</f>
        <v>1665983.35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12762.36</v>
      </c>
      <c r="E35" s="227">
        <v>12341.1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210589.17</v>
      </c>
      <c r="E37" s="227">
        <v>162921.79999999999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1365487.87</v>
      </c>
      <c r="E39" s="228">
        <v>1236452.17</v>
      </c>
      <c r="F39" s="72"/>
    </row>
    <row r="40" spans="2:6" ht="13.5" thickBot="1">
      <c r="B40" s="98" t="s">
        <v>35</v>
      </c>
      <c r="C40" s="99" t="s">
        <v>36</v>
      </c>
      <c r="D40" s="204">
        <v>376467.84</v>
      </c>
      <c r="E40" s="233">
        <v>-140235.22</v>
      </c>
    </row>
    <row r="41" spans="2:6" ht="13.5" thickBot="1">
      <c r="B41" s="100" t="s">
        <v>37</v>
      </c>
      <c r="C41" s="101" t="s">
        <v>38</v>
      </c>
      <c r="D41" s="205">
        <v>11673425.620000001</v>
      </c>
      <c r="E41" s="149">
        <f>E26+E27+E40</f>
        <v>8455491.9799999986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4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122239.322</v>
      </c>
      <c r="E47" s="74">
        <v>129575.656</v>
      </c>
    </row>
    <row r="48" spans="2:6">
      <c r="B48" s="124" t="s">
        <v>6</v>
      </c>
      <c r="C48" s="22" t="s">
        <v>41</v>
      </c>
      <c r="D48" s="207">
        <v>129575.656</v>
      </c>
      <c r="E48" s="150">
        <v>95305.365000000005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87.34</v>
      </c>
      <c r="E50" s="76">
        <v>90.09</v>
      </c>
    </row>
    <row r="51" spans="2:5">
      <c r="B51" s="103" t="s">
        <v>6</v>
      </c>
      <c r="C51" s="15" t="s">
        <v>190</v>
      </c>
      <c r="D51" s="209">
        <v>85.84</v>
      </c>
      <c r="E51" s="76">
        <v>84.25</v>
      </c>
    </row>
    <row r="52" spans="2:5">
      <c r="B52" s="103" t="s">
        <v>8</v>
      </c>
      <c r="C52" s="15" t="s">
        <v>191</v>
      </c>
      <c r="D52" s="209">
        <v>92.59</v>
      </c>
      <c r="E52" s="76">
        <v>91.94</v>
      </c>
    </row>
    <row r="53" spans="2:5" ht="14.25" customHeight="1" thickBot="1">
      <c r="B53" s="104" t="s">
        <v>9</v>
      </c>
      <c r="C53" s="17" t="s">
        <v>41</v>
      </c>
      <c r="D53" s="210">
        <v>90.09</v>
      </c>
      <c r="E53" s="234">
        <v>88.72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8455491.9800000004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8455491.9800000004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8455491.9800000004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8455491.9800000004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166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53143.45</v>
      </c>
      <c r="E11" s="258">
        <f>E12</f>
        <v>27104.97</v>
      </c>
    </row>
    <row r="12" spans="2:5">
      <c r="B12" s="173" t="s">
        <v>4</v>
      </c>
      <c r="C12" s="174" t="s">
        <v>5</v>
      </c>
      <c r="D12" s="261">
        <v>53143.45</v>
      </c>
      <c r="E12" s="262">
        <v>27104.97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53143.45</v>
      </c>
      <c r="E21" s="149">
        <f>E11</f>
        <v>27104.97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47606.3</v>
      </c>
      <c r="E26" s="232">
        <f>D21</f>
        <v>53143.45</v>
      </c>
    </row>
    <row r="27" spans="2:6">
      <c r="B27" s="9" t="s">
        <v>17</v>
      </c>
      <c r="C27" s="10" t="s">
        <v>187</v>
      </c>
      <c r="D27" s="201">
        <v>-4461.29</v>
      </c>
      <c r="E27" s="225">
        <f>E28-E32</f>
        <v>-23736.340000000004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4461.29</v>
      </c>
      <c r="E32" s="226">
        <f>E33+E35+E37+E39</f>
        <v>23736.340000000004</v>
      </c>
      <c r="F32" s="72"/>
    </row>
    <row r="33" spans="2:6">
      <c r="B33" s="181" t="s">
        <v>4</v>
      </c>
      <c r="C33" s="174" t="s">
        <v>25</v>
      </c>
      <c r="D33" s="202">
        <v>3187.33</v>
      </c>
      <c r="E33" s="227">
        <v>23069.88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174.04</v>
      </c>
      <c r="E35" s="227">
        <v>80.88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808.01</v>
      </c>
      <c r="E37" s="227">
        <v>585.58000000000004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291.91000000000003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9998.44</v>
      </c>
      <c r="E40" s="233">
        <v>-2302.14</v>
      </c>
    </row>
    <row r="41" spans="2:6" ht="13.5" thickBot="1">
      <c r="B41" s="100" t="s">
        <v>37</v>
      </c>
      <c r="C41" s="101" t="s">
        <v>38</v>
      </c>
      <c r="D41" s="205">
        <v>53143.450000000004</v>
      </c>
      <c r="E41" s="149">
        <f>E26+E27+E40</f>
        <v>27104.969999999994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7380.8209999999999</v>
      </c>
      <c r="E47" s="74">
        <v>6804.5389999999998</v>
      </c>
    </row>
    <row r="48" spans="2:6">
      <c r="B48" s="186" t="s">
        <v>6</v>
      </c>
      <c r="C48" s="187" t="s">
        <v>41</v>
      </c>
      <c r="D48" s="207">
        <v>6804.5389999999998</v>
      </c>
      <c r="E48" s="150">
        <v>3861.107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6.45</v>
      </c>
      <c r="E50" s="76">
        <v>7.81</v>
      </c>
    </row>
    <row r="51" spans="2:5">
      <c r="B51" s="184" t="s">
        <v>6</v>
      </c>
      <c r="C51" s="185" t="s">
        <v>190</v>
      </c>
      <c r="D51" s="209">
        <v>6.42</v>
      </c>
      <c r="E51" s="76">
        <v>6.47</v>
      </c>
    </row>
    <row r="52" spans="2:5">
      <c r="B52" s="184" t="s">
        <v>8</v>
      </c>
      <c r="C52" s="185" t="s">
        <v>191</v>
      </c>
      <c r="D52" s="209">
        <v>8.44</v>
      </c>
      <c r="E52" s="76">
        <v>8.84</v>
      </c>
    </row>
    <row r="53" spans="2:5" ht="14.25" customHeight="1" thickBot="1">
      <c r="B53" s="188" t="s">
        <v>9</v>
      </c>
      <c r="C53" s="189" t="s">
        <v>41</v>
      </c>
      <c r="D53" s="210">
        <v>7.81</v>
      </c>
      <c r="E53" s="234">
        <v>7.02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27104.97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27104.97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27104.97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27104.97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261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186984.3</v>
      </c>
      <c r="E11" s="258">
        <f>E12</f>
        <v>144862.87</v>
      </c>
    </row>
    <row r="12" spans="2:5">
      <c r="B12" s="173" t="s">
        <v>4</v>
      </c>
      <c r="C12" s="174" t="s">
        <v>5</v>
      </c>
      <c r="D12" s="261">
        <v>186984.3</v>
      </c>
      <c r="E12" s="262">
        <v>144862.87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186984.3</v>
      </c>
      <c r="E21" s="149">
        <f>E11</f>
        <v>144862.87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241638.35</v>
      </c>
      <c r="E26" s="232">
        <f>D21</f>
        <v>186984.3</v>
      </c>
    </row>
    <row r="27" spans="2:6">
      <c r="B27" s="9" t="s">
        <v>17</v>
      </c>
      <c r="C27" s="10" t="s">
        <v>187</v>
      </c>
      <c r="D27" s="201">
        <v>-68723.75</v>
      </c>
      <c r="E27" s="225">
        <f>E28-E32</f>
        <v>-22338.75</v>
      </c>
      <c r="F27" s="72"/>
    </row>
    <row r="28" spans="2:6">
      <c r="B28" s="9" t="s">
        <v>18</v>
      </c>
      <c r="C28" s="10" t="s">
        <v>19</v>
      </c>
      <c r="D28" s="201">
        <v>9659.35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>
        <v>5791.5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3867.85</v>
      </c>
      <c r="E31" s="227"/>
      <c r="F31" s="72"/>
    </row>
    <row r="32" spans="2:6">
      <c r="B32" s="93" t="s">
        <v>23</v>
      </c>
      <c r="C32" s="11" t="s">
        <v>24</v>
      </c>
      <c r="D32" s="201">
        <v>78383.100000000006</v>
      </c>
      <c r="E32" s="226">
        <f>E33+E35+E37+E39</f>
        <v>22338.75</v>
      </c>
      <c r="F32" s="72"/>
    </row>
    <row r="33" spans="2:6">
      <c r="B33" s="181" t="s">
        <v>4</v>
      </c>
      <c r="C33" s="174" t="s">
        <v>25</v>
      </c>
      <c r="D33" s="202">
        <v>71910.61</v>
      </c>
      <c r="E33" s="227">
        <v>19335.97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669.8</v>
      </c>
      <c r="E35" s="227">
        <v>584.85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3337.56</v>
      </c>
      <c r="E37" s="227">
        <v>2417.9299999999998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2465.13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14069.7</v>
      </c>
      <c r="E40" s="233">
        <v>-19782.68</v>
      </c>
    </row>
    <row r="41" spans="2:6" ht="13.5" thickBot="1">
      <c r="B41" s="100" t="s">
        <v>37</v>
      </c>
      <c r="C41" s="101" t="s">
        <v>38</v>
      </c>
      <c r="D41" s="205">
        <v>186984.30000000002</v>
      </c>
      <c r="E41" s="149">
        <f>E26+E27+E40</f>
        <v>144862.87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1910.0336</v>
      </c>
      <c r="E47" s="74">
        <v>1407.5903000000001</v>
      </c>
    </row>
    <row r="48" spans="2:6">
      <c r="B48" s="186" t="s">
        <v>6</v>
      </c>
      <c r="C48" s="187" t="s">
        <v>41</v>
      </c>
      <c r="D48" s="207">
        <v>1407.5903000000001</v>
      </c>
      <c r="E48" s="150">
        <v>1234.3462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126.51</v>
      </c>
      <c r="E50" s="76">
        <v>132.84</v>
      </c>
    </row>
    <row r="51" spans="2:5">
      <c r="B51" s="184" t="s">
        <v>6</v>
      </c>
      <c r="C51" s="185" t="s">
        <v>190</v>
      </c>
      <c r="D51" s="209">
        <v>126.7</v>
      </c>
      <c r="E51" s="76">
        <v>115.92</v>
      </c>
    </row>
    <row r="52" spans="2:5">
      <c r="B52" s="184" t="s">
        <v>8</v>
      </c>
      <c r="C52" s="185" t="s">
        <v>191</v>
      </c>
      <c r="D52" s="209">
        <v>138.74</v>
      </c>
      <c r="E52" s="76">
        <v>139.44</v>
      </c>
    </row>
    <row r="53" spans="2:5" ht="14.25" customHeight="1" thickBot="1">
      <c r="B53" s="188" t="s">
        <v>9</v>
      </c>
      <c r="C53" s="189" t="s">
        <v>41</v>
      </c>
      <c r="D53" s="210">
        <v>132.84</v>
      </c>
      <c r="E53" s="234">
        <v>117.36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144862.87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144862.87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144862.87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144862.87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5"/>
      <c r="C4" s="145"/>
      <c r="D4" s="145"/>
      <c r="E4" s="14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130</v>
      </c>
      <c r="C6" s="356"/>
      <c r="D6" s="356"/>
      <c r="E6" s="356"/>
    </row>
    <row r="7" spans="2:5" ht="14.25">
      <c r="B7" s="143"/>
      <c r="C7" s="143"/>
      <c r="D7" s="143"/>
      <c r="E7" s="143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4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223618.74000000002</v>
      </c>
      <c r="E11" s="258">
        <f>E12</f>
        <v>163286.05000000002</v>
      </c>
    </row>
    <row r="12" spans="2:5">
      <c r="B12" s="173" t="s">
        <v>4</v>
      </c>
      <c r="C12" s="174" t="s">
        <v>5</v>
      </c>
      <c r="D12" s="261">
        <v>223618.74000000002</v>
      </c>
      <c r="E12" s="262">
        <f>163545.98-259.93</f>
        <v>163286.05000000002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223618.74000000002</v>
      </c>
      <c r="E21" s="149">
        <f>E11-E17</f>
        <v>163286.05000000002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262403.26</v>
      </c>
      <c r="E26" s="232">
        <f>D21</f>
        <v>223618.74000000002</v>
      </c>
    </row>
    <row r="27" spans="2:6">
      <c r="B27" s="9" t="s">
        <v>17</v>
      </c>
      <c r="C27" s="10" t="s">
        <v>187</v>
      </c>
      <c r="D27" s="201">
        <v>-64456.72</v>
      </c>
      <c r="E27" s="225">
        <f>E28-E32</f>
        <v>-17807.48</v>
      </c>
      <c r="F27" s="72"/>
    </row>
    <row r="28" spans="2:6">
      <c r="B28" s="9" t="s">
        <v>18</v>
      </c>
      <c r="C28" s="10" t="s">
        <v>19</v>
      </c>
      <c r="D28" s="201">
        <v>37292.160000000003</v>
      </c>
      <c r="E28" s="226">
        <f>E29+E30+E31</f>
        <v>21476.94</v>
      </c>
      <c r="F28" s="72"/>
    </row>
    <row r="29" spans="2:6">
      <c r="B29" s="181" t="s">
        <v>4</v>
      </c>
      <c r="C29" s="174" t="s">
        <v>20</v>
      </c>
      <c r="D29" s="202">
        <v>17515.349999999999</v>
      </c>
      <c r="E29" s="227">
        <v>13645.14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19776.810000000001</v>
      </c>
      <c r="E31" s="227">
        <v>7831.8</v>
      </c>
      <c r="F31" s="72"/>
    </row>
    <row r="32" spans="2:6">
      <c r="B32" s="93" t="s">
        <v>23</v>
      </c>
      <c r="C32" s="11" t="s">
        <v>24</v>
      </c>
      <c r="D32" s="201">
        <v>101748.88</v>
      </c>
      <c r="E32" s="226">
        <f>E33+E35+E37+E39</f>
        <v>39284.42</v>
      </c>
      <c r="F32" s="72"/>
    </row>
    <row r="33" spans="2:6">
      <c r="B33" s="181" t="s">
        <v>4</v>
      </c>
      <c r="C33" s="174" t="s">
        <v>25</v>
      </c>
      <c r="D33" s="202">
        <v>60451.73</v>
      </c>
      <c r="E33" s="227">
        <f>18901.76+54.53</f>
        <v>18956.289999999997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1083.94</v>
      </c>
      <c r="E35" s="227">
        <v>841.65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3919.23</v>
      </c>
      <c r="E37" s="227">
        <v>2992.76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36293.980000000003</v>
      </c>
      <c r="E39" s="228">
        <v>16493.72</v>
      </c>
      <c r="F39" s="72"/>
    </row>
    <row r="40" spans="2:6" ht="13.5" thickBot="1">
      <c r="B40" s="98" t="s">
        <v>35</v>
      </c>
      <c r="C40" s="99" t="s">
        <v>36</v>
      </c>
      <c r="D40" s="204">
        <v>25672.2</v>
      </c>
      <c r="E40" s="233">
        <v>-42525.21</v>
      </c>
    </row>
    <row r="41" spans="2:6" ht="13.5" thickBot="1">
      <c r="B41" s="100" t="s">
        <v>37</v>
      </c>
      <c r="C41" s="101" t="s">
        <v>38</v>
      </c>
      <c r="D41" s="205">
        <v>223618.74000000002</v>
      </c>
      <c r="E41" s="149">
        <f>E26+E27+E40</f>
        <v>163286.05000000002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4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2613.0578</v>
      </c>
      <c r="E47" s="74">
        <v>2030.498</v>
      </c>
    </row>
    <row r="48" spans="2:6">
      <c r="B48" s="124" t="s">
        <v>6</v>
      </c>
      <c r="C48" s="22" t="s">
        <v>41</v>
      </c>
      <c r="D48" s="207">
        <v>2030.498</v>
      </c>
      <c r="E48" s="150">
        <v>1872.9760000000001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100.42</v>
      </c>
      <c r="E50" s="76">
        <v>110.13</v>
      </c>
    </row>
    <row r="51" spans="2:5">
      <c r="B51" s="103" t="s">
        <v>6</v>
      </c>
      <c r="C51" s="15" t="s">
        <v>190</v>
      </c>
      <c r="D51" s="209">
        <v>100.42</v>
      </c>
      <c r="E51" s="76">
        <v>85</v>
      </c>
    </row>
    <row r="52" spans="2:5">
      <c r="B52" s="103" t="s">
        <v>8</v>
      </c>
      <c r="C52" s="15" t="s">
        <v>191</v>
      </c>
      <c r="D52" s="209">
        <v>114.32</v>
      </c>
      <c r="E52" s="76">
        <v>115.01</v>
      </c>
    </row>
    <row r="53" spans="2:5" ht="13.5" customHeight="1" thickBot="1">
      <c r="B53" s="104" t="s">
        <v>9</v>
      </c>
      <c r="C53" s="17" t="s">
        <v>41</v>
      </c>
      <c r="D53" s="210">
        <v>110.13</v>
      </c>
      <c r="E53" s="234">
        <v>87.18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163286.05000000002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163286.05000000002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D75</f>
        <v>163286.05000000002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D58-D73</f>
        <v>163286.05000000002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158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115825.60000000001</v>
      </c>
      <c r="E11" s="258">
        <f>E12</f>
        <v>97105.64</v>
      </c>
    </row>
    <row r="12" spans="2:5">
      <c r="B12" s="173" t="s">
        <v>4</v>
      </c>
      <c r="C12" s="174" t="s">
        <v>5</v>
      </c>
      <c r="D12" s="261">
        <v>115825.60000000001</v>
      </c>
      <c r="E12" s="262">
        <f>97259.98-154.34</f>
        <v>97105.64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115825.60000000001</v>
      </c>
      <c r="E21" s="149">
        <f>E11</f>
        <v>97105.64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117844.04</v>
      </c>
      <c r="E26" s="232">
        <f>D21</f>
        <v>115825.60000000001</v>
      </c>
    </row>
    <row r="27" spans="2:6">
      <c r="B27" s="9" t="s">
        <v>17</v>
      </c>
      <c r="C27" s="10" t="s">
        <v>187</v>
      </c>
      <c r="D27" s="201">
        <v>-20243.580000000002</v>
      </c>
      <c r="E27" s="225">
        <f>E28-E32</f>
        <v>-2053.09</v>
      </c>
      <c r="F27" s="72"/>
    </row>
    <row r="28" spans="2:6">
      <c r="B28" s="9" t="s">
        <v>18</v>
      </c>
      <c r="C28" s="10" t="s">
        <v>19</v>
      </c>
      <c r="D28" s="201">
        <v>41244.92</v>
      </c>
      <c r="E28" s="226">
        <f>E29+E30+E31</f>
        <v>32662.13</v>
      </c>
      <c r="F28" s="72"/>
    </row>
    <row r="29" spans="2:6">
      <c r="B29" s="181" t="s">
        <v>4</v>
      </c>
      <c r="C29" s="174" t="s">
        <v>20</v>
      </c>
      <c r="D29" s="202">
        <v>6396.38</v>
      </c>
      <c r="E29" s="227">
        <v>6472.25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34848.54</v>
      </c>
      <c r="E31" s="227">
        <v>26189.88</v>
      </c>
      <c r="F31" s="72"/>
    </row>
    <row r="32" spans="2:6">
      <c r="B32" s="93" t="s">
        <v>23</v>
      </c>
      <c r="C32" s="11" t="s">
        <v>24</v>
      </c>
      <c r="D32" s="201">
        <v>61488.5</v>
      </c>
      <c r="E32" s="226">
        <f>E33+E35+E37+E39</f>
        <v>34715.22</v>
      </c>
      <c r="F32" s="72"/>
    </row>
    <row r="33" spans="2:6">
      <c r="B33" s="181" t="s">
        <v>4</v>
      </c>
      <c r="C33" s="174" t="s">
        <v>25</v>
      </c>
      <c r="D33" s="202">
        <v>26701.57</v>
      </c>
      <c r="E33" s="227">
        <f>4565.49+125.5</f>
        <v>4690.99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687.91</v>
      </c>
      <c r="E35" s="227">
        <v>619.19000000000005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844.89</v>
      </c>
      <c r="E37" s="227">
        <v>674.7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33254.129999999997</v>
      </c>
      <c r="E39" s="228">
        <v>28730.34</v>
      </c>
      <c r="F39" s="72"/>
    </row>
    <row r="40" spans="2:6" ht="13.5" thickBot="1">
      <c r="B40" s="98" t="s">
        <v>35</v>
      </c>
      <c r="C40" s="99" t="s">
        <v>36</v>
      </c>
      <c r="D40" s="204">
        <v>18225.14</v>
      </c>
      <c r="E40" s="233">
        <v>-16666.87</v>
      </c>
    </row>
    <row r="41" spans="2:6" ht="13.5" thickBot="1">
      <c r="B41" s="100" t="s">
        <v>37</v>
      </c>
      <c r="C41" s="101" t="s">
        <v>38</v>
      </c>
      <c r="D41" s="205">
        <v>115825.59999999999</v>
      </c>
      <c r="E41" s="149">
        <f>E26+E27+E40</f>
        <v>97105.640000000014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1023.8405</v>
      </c>
      <c r="E47" s="74">
        <v>865.79160000000002</v>
      </c>
    </row>
    <row r="48" spans="2:6">
      <c r="B48" s="186" t="s">
        <v>6</v>
      </c>
      <c r="C48" s="187" t="s">
        <v>41</v>
      </c>
      <c r="D48" s="207">
        <v>865.79160000000002</v>
      </c>
      <c r="E48" s="150">
        <v>836.97329999999999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115.1</v>
      </c>
      <c r="E50" s="76">
        <v>133.78</v>
      </c>
    </row>
    <row r="51" spans="2:5">
      <c r="B51" s="184" t="s">
        <v>6</v>
      </c>
      <c r="C51" s="185" t="s">
        <v>190</v>
      </c>
      <c r="D51" s="209">
        <v>115</v>
      </c>
      <c r="E51" s="76">
        <v>115.58</v>
      </c>
    </row>
    <row r="52" spans="2:5">
      <c r="B52" s="184" t="s">
        <v>8</v>
      </c>
      <c r="C52" s="185" t="s">
        <v>191</v>
      </c>
      <c r="D52" s="209">
        <v>136.58000000000001</v>
      </c>
      <c r="E52" s="76">
        <v>139.91999999999999</v>
      </c>
    </row>
    <row r="53" spans="2:5" ht="13.5" customHeight="1" thickBot="1">
      <c r="B53" s="188" t="s">
        <v>9</v>
      </c>
      <c r="C53" s="189" t="s">
        <v>41</v>
      </c>
      <c r="D53" s="210">
        <v>133.78</v>
      </c>
      <c r="E53" s="234">
        <v>116.02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97105.64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97105.64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97105.64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97105.64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134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90376.75</v>
      </c>
      <c r="E11" s="258">
        <f>E12</f>
        <v>76861.98</v>
      </c>
    </row>
    <row r="12" spans="2:5">
      <c r="B12" s="173" t="s">
        <v>4</v>
      </c>
      <c r="C12" s="174" t="s">
        <v>5</v>
      </c>
      <c r="D12" s="261">
        <v>90376.75</v>
      </c>
      <c r="E12" s="262">
        <v>76861.98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90376.75</v>
      </c>
      <c r="E21" s="149">
        <f>E11</f>
        <v>76861.98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54787.77</v>
      </c>
      <c r="E26" s="232">
        <f>D21</f>
        <v>90376.75</v>
      </c>
    </row>
    <row r="27" spans="2:6">
      <c r="B27" s="9" t="s">
        <v>17</v>
      </c>
      <c r="C27" s="10" t="s">
        <v>187</v>
      </c>
      <c r="D27" s="201">
        <v>26094.999999999993</v>
      </c>
      <c r="E27" s="225">
        <f>E28-E32</f>
        <v>-1586.75</v>
      </c>
      <c r="F27" s="72"/>
    </row>
    <row r="28" spans="2:6">
      <c r="B28" s="9" t="s">
        <v>18</v>
      </c>
      <c r="C28" s="10" t="s">
        <v>19</v>
      </c>
      <c r="D28" s="201">
        <v>88028.68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88028.68</v>
      </c>
      <c r="E31" s="227"/>
      <c r="F31" s="72"/>
    </row>
    <row r="32" spans="2:6">
      <c r="B32" s="93" t="s">
        <v>23</v>
      </c>
      <c r="C32" s="11" t="s">
        <v>24</v>
      </c>
      <c r="D32" s="201">
        <v>61933.68</v>
      </c>
      <c r="E32" s="226">
        <f>E33+E35+E37+E39</f>
        <v>1586.75</v>
      </c>
      <c r="F32" s="72"/>
    </row>
    <row r="33" spans="2:6">
      <c r="B33" s="181" t="s">
        <v>4</v>
      </c>
      <c r="C33" s="174" t="s">
        <v>25</v>
      </c>
      <c r="D33" s="202">
        <v>23574.82</v>
      </c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143.22999999999999</v>
      </c>
      <c r="E35" s="227">
        <v>137.07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1731.12</v>
      </c>
      <c r="E37" s="227">
        <v>1449.68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36484.51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9493.98</v>
      </c>
      <c r="E40" s="233">
        <v>-11928.02</v>
      </c>
    </row>
    <row r="41" spans="2:6" ht="13.5" thickBot="1">
      <c r="B41" s="100" t="s">
        <v>37</v>
      </c>
      <c r="C41" s="101" t="s">
        <v>38</v>
      </c>
      <c r="D41" s="205">
        <v>90376.749999999985</v>
      </c>
      <c r="E41" s="149">
        <f>E26+E27+E40</f>
        <v>76861.98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539.7278</v>
      </c>
      <c r="E47" s="74">
        <v>776.56600000000003</v>
      </c>
    </row>
    <row r="48" spans="2:6">
      <c r="B48" s="186" t="s">
        <v>6</v>
      </c>
      <c r="C48" s="187" t="s">
        <v>41</v>
      </c>
      <c r="D48" s="207">
        <v>776.56600000000003</v>
      </c>
      <c r="E48" s="150">
        <v>762.14160000000004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101.51</v>
      </c>
      <c r="E50" s="76">
        <v>116.38</v>
      </c>
    </row>
    <row r="51" spans="2:5">
      <c r="B51" s="184" t="s">
        <v>6</v>
      </c>
      <c r="C51" s="185" t="s">
        <v>190</v>
      </c>
      <c r="D51" s="209">
        <v>101.51</v>
      </c>
      <c r="E51" s="76">
        <v>98.1</v>
      </c>
    </row>
    <row r="52" spans="2:5">
      <c r="B52" s="184" t="s">
        <v>8</v>
      </c>
      <c r="C52" s="185" t="s">
        <v>191</v>
      </c>
      <c r="D52" s="209">
        <v>120.23</v>
      </c>
      <c r="E52" s="76">
        <v>121.62</v>
      </c>
    </row>
    <row r="53" spans="2:5" ht="12.75" customHeight="1" thickBot="1">
      <c r="B53" s="188" t="s">
        <v>9</v>
      </c>
      <c r="C53" s="189" t="s">
        <v>41</v>
      </c>
      <c r="D53" s="210">
        <v>116.38</v>
      </c>
      <c r="E53" s="234">
        <v>100.85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76861.98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76861.98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76861.98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76861.98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129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565749.92000000004</v>
      </c>
      <c r="E11" s="258">
        <f>E12</f>
        <v>375341.18</v>
      </c>
    </row>
    <row r="12" spans="2:5">
      <c r="B12" s="173" t="s">
        <v>4</v>
      </c>
      <c r="C12" s="174" t="s">
        <v>5</v>
      </c>
      <c r="D12" s="261">
        <v>565749.92000000004</v>
      </c>
      <c r="E12" s="262">
        <v>375341.18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565749.92000000004</v>
      </c>
      <c r="E21" s="149">
        <f>E11</f>
        <v>375341.18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687908.93</v>
      </c>
      <c r="E26" s="232">
        <f>D21</f>
        <v>565749.92000000004</v>
      </c>
    </row>
    <row r="27" spans="2:6">
      <c r="B27" s="9" t="s">
        <v>17</v>
      </c>
      <c r="C27" s="10" t="s">
        <v>187</v>
      </c>
      <c r="D27" s="201">
        <v>-252418.52999999997</v>
      </c>
      <c r="E27" s="225">
        <f>E28-E32</f>
        <v>-121876.33</v>
      </c>
      <c r="F27" s="72"/>
    </row>
    <row r="28" spans="2:6">
      <c r="B28" s="9" t="s">
        <v>18</v>
      </c>
      <c r="C28" s="10" t="s">
        <v>19</v>
      </c>
      <c r="D28" s="201">
        <v>386115.56</v>
      </c>
      <c r="E28" s="226">
        <f>E29+E30+E31</f>
        <v>4002.14</v>
      </c>
      <c r="F28" s="72"/>
    </row>
    <row r="29" spans="2:6">
      <c r="B29" s="181" t="s">
        <v>4</v>
      </c>
      <c r="C29" s="174" t="s">
        <v>20</v>
      </c>
      <c r="D29" s="202">
        <v>6597.01</v>
      </c>
      <c r="E29" s="227">
        <v>4002.14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379518.55</v>
      </c>
      <c r="E31" s="227"/>
      <c r="F31" s="72"/>
    </row>
    <row r="32" spans="2:6">
      <c r="B32" s="93" t="s">
        <v>23</v>
      </c>
      <c r="C32" s="11" t="s">
        <v>24</v>
      </c>
      <c r="D32" s="201">
        <v>638534.09</v>
      </c>
      <c r="E32" s="226">
        <f>E33+E35+E37+E39</f>
        <v>125878.47</v>
      </c>
      <c r="F32" s="72"/>
    </row>
    <row r="33" spans="2:6">
      <c r="B33" s="181" t="s">
        <v>4</v>
      </c>
      <c r="C33" s="174" t="s">
        <v>25</v>
      </c>
      <c r="D33" s="202">
        <v>584835.38</v>
      </c>
      <c r="E33" s="227">
        <v>92244.56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570.49</v>
      </c>
      <c r="E35" s="227">
        <v>840.86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12444.36</v>
      </c>
      <c r="E37" s="227">
        <v>7474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40683.86</v>
      </c>
      <c r="E39" s="228">
        <v>25319.05</v>
      </c>
      <c r="F39" s="72"/>
    </row>
    <row r="40" spans="2:6" ht="13.5" thickBot="1">
      <c r="B40" s="98" t="s">
        <v>35</v>
      </c>
      <c r="C40" s="99" t="s">
        <v>36</v>
      </c>
      <c r="D40" s="204">
        <v>130259.52</v>
      </c>
      <c r="E40" s="233">
        <v>-68532.41</v>
      </c>
    </row>
    <row r="41" spans="2:6" ht="13.5" thickBot="1">
      <c r="B41" s="100" t="s">
        <v>37</v>
      </c>
      <c r="C41" s="101" t="s">
        <v>38</v>
      </c>
      <c r="D41" s="205">
        <v>565749.92000000004</v>
      </c>
      <c r="E41" s="149">
        <f>E26+E27+E40</f>
        <v>375341.18000000005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3402.9627999999998</v>
      </c>
      <c r="E47" s="74">
        <v>2369.4346999999998</v>
      </c>
    </row>
    <row r="48" spans="2:6">
      <c r="B48" s="186" t="s">
        <v>6</v>
      </c>
      <c r="C48" s="187" t="s">
        <v>41</v>
      </c>
      <c r="D48" s="207">
        <v>2369.4346999999998</v>
      </c>
      <c r="E48" s="150">
        <v>1823.2837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202.15</v>
      </c>
      <c r="E50" s="76">
        <v>238.77</v>
      </c>
    </row>
    <row r="51" spans="2:5">
      <c r="B51" s="184" t="s">
        <v>6</v>
      </c>
      <c r="C51" s="185" t="s">
        <v>190</v>
      </c>
      <c r="D51" s="209">
        <v>202.15</v>
      </c>
      <c r="E51" s="76">
        <v>198.05</v>
      </c>
    </row>
    <row r="52" spans="2:5">
      <c r="B52" s="184" t="s">
        <v>8</v>
      </c>
      <c r="C52" s="185" t="s">
        <v>191</v>
      </c>
      <c r="D52" s="209">
        <v>246.2</v>
      </c>
      <c r="E52" s="76">
        <v>251.45</v>
      </c>
    </row>
    <row r="53" spans="2:5" ht="13.5" customHeight="1" thickBot="1">
      <c r="B53" s="188" t="s">
        <v>9</v>
      </c>
      <c r="C53" s="189" t="s">
        <v>41</v>
      </c>
      <c r="D53" s="210">
        <v>238.77</v>
      </c>
      <c r="E53" s="234">
        <v>205.86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375341.18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375341.18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375341.18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375341.18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133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686021.21</v>
      </c>
      <c r="E11" s="258">
        <f>E12</f>
        <v>326312.65999999997</v>
      </c>
    </row>
    <row r="12" spans="2:5">
      <c r="B12" s="173" t="s">
        <v>4</v>
      </c>
      <c r="C12" s="174" t="s">
        <v>5</v>
      </c>
      <c r="D12" s="261">
        <v>686021.21</v>
      </c>
      <c r="E12" s="262">
        <f>326515.5-202.84</f>
        <v>326312.65999999997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686021.21</v>
      </c>
      <c r="E21" s="149">
        <f>E11-E17</f>
        <v>326312.65999999997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860630.64</v>
      </c>
      <c r="E26" s="232">
        <f>D21</f>
        <v>686021.21</v>
      </c>
    </row>
    <row r="27" spans="2:6">
      <c r="B27" s="9" t="s">
        <v>17</v>
      </c>
      <c r="C27" s="10" t="s">
        <v>187</v>
      </c>
      <c r="D27" s="201">
        <v>-207501.97</v>
      </c>
      <c r="E27" s="225">
        <f>E28-E32</f>
        <v>-366514.74</v>
      </c>
      <c r="F27" s="72"/>
    </row>
    <row r="28" spans="2:6">
      <c r="B28" s="9" t="s">
        <v>18</v>
      </c>
      <c r="C28" s="10" t="s">
        <v>19</v>
      </c>
      <c r="D28" s="201">
        <v>11154.25</v>
      </c>
      <c r="E28" s="226">
        <f>E29+E30+E31</f>
        <v>24792.080000000002</v>
      </c>
      <c r="F28" s="72"/>
    </row>
    <row r="29" spans="2:6">
      <c r="B29" s="181" t="s">
        <v>4</v>
      </c>
      <c r="C29" s="174" t="s">
        <v>20</v>
      </c>
      <c r="D29" s="202">
        <v>10634.46</v>
      </c>
      <c r="E29" s="227">
        <v>9196.34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519.79</v>
      </c>
      <c r="E31" s="227">
        <v>15595.74</v>
      </c>
      <c r="F31" s="72"/>
    </row>
    <row r="32" spans="2:6">
      <c r="B32" s="93" t="s">
        <v>23</v>
      </c>
      <c r="C32" s="11" t="s">
        <v>24</v>
      </c>
      <c r="D32" s="201">
        <v>218656.22</v>
      </c>
      <c r="E32" s="226">
        <f>E33+E35+E37+E39</f>
        <v>391306.82</v>
      </c>
      <c r="F32" s="72"/>
    </row>
    <row r="33" spans="2:6">
      <c r="B33" s="181" t="s">
        <v>4</v>
      </c>
      <c r="C33" s="174" t="s">
        <v>25</v>
      </c>
      <c r="D33" s="202">
        <v>201588.61000000002</v>
      </c>
      <c r="E33" s="227">
        <f>367507.88+4.23</f>
        <v>367512.11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1626.77</v>
      </c>
      <c r="E35" s="227">
        <v>1390.8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12352.77</v>
      </c>
      <c r="E37" s="227">
        <v>8223.01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3088.07</v>
      </c>
      <c r="E39" s="228">
        <v>14180.9</v>
      </c>
      <c r="F39" s="72"/>
    </row>
    <row r="40" spans="2:6" ht="13.5" thickBot="1">
      <c r="B40" s="98" t="s">
        <v>35</v>
      </c>
      <c r="C40" s="99" t="s">
        <v>36</v>
      </c>
      <c r="D40" s="204">
        <v>32892.54</v>
      </c>
      <c r="E40" s="233">
        <v>6806.19</v>
      </c>
    </row>
    <row r="41" spans="2:6" ht="13.5" thickBot="1">
      <c r="B41" s="100" t="s">
        <v>37</v>
      </c>
      <c r="C41" s="101" t="s">
        <v>38</v>
      </c>
      <c r="D41" s="205">
        <v>686021.21000000008</v>
      </c>
      <c r="E41" s="149">
        <f>E26+E27+E40</f>
        <v>326312.65999999997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2590.6223199999999</v>
      </c>
      <c r="E47" s="74">
        <v>1983.3508099999999</v>
      </c>
    </row>
    <row r="48" spans="2:6">
      <c r="B48" s="124" t="s">
        <v>6</v>
      </c>
      <c r="C48" s="22" t="s">
        <v>41</v>
      </c>
      <c r="D48" s="207">
        <v>1983.3508099999999</v>
      </c>
      <c r="E48" s="150">
        <v>923.71811000000002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332.21</v>
      </c>
      <c r="E50" s="76">
        <v>345.89</v>
      </c>
    </row>
    <row r="51" spans="2:5">
      <c r="B51" s="103" t="s">
        <v>6</v>
      </c>
      <c r="C51" s="15" t="s">
        <v>190</v>
      </c>
      <c r="D51" s="209">
        <v>330.79</v>
      </c>
      <c r="E51" s="76">
        <v>343.49</v>
      </c>
    </row>
    <row r="52" spans="2:5">
      <c r="B52" s="103" t="s">
        <v>8</v>
      </c>
      <c r="C52" s="15" t="s">
        <v>191</v>
      </c>
      <c r="D52" s="209">
        <v>346.02</v>
      </c>
      <c r="E52" s="76">
        <v>353.69</v>
      </c>
    </row>
    <row r="53" spans="2:5" ht="13.5" customHeight="1" thickBot="1">
      <c r="B53" s="104" t="s">
        <v>9</v>
      </c>
      <c r="C53" s="17" t="s">
        <v>41</v>
      </c>
      <c r="D53" s="210">
        <v>345.89</v>
      </c>
      <c r="E53" s="234">
        <v>353.26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326312.65999999997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326312.65999999997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326312.65999999997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326312.65999999997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285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247940.58</v>
      </c>
      <c r="E11" s="258">
        <f>E12</f>
        <v>148305.16999999998</v>
      </c>
    </row>
    <row r="12" spans="2:5">
      <c r="B12" s="173" t="s">
        <v>4</v>
      </c>
      <c r="C12" s="174" t="s">
        <v>5</v>
      </c>
      <c r="D12" s="261">
        <v>247940.58</v>
      </c>
      <c r="E12" s="262">
        <f>150918.06-2612.89</f>
        <v>148305.16999999998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247940.58</v>
      </c>
      <c r="E21" s="149">
        <f>E11-E17</f>
        <v>148305.16999999998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307157.87</v>
      </c>
      <c r="E26" s="232">
        <f>D21</f>
        <v>247940.58</v>
      </c>
    </row>
    <row r="27" spans="2:6">
      <c r="B27" s="9" t="s">
        <v>17</v>
      </c>
      <c r="C27" s="10" t="s">
        <v>187</v>
      </c>
      <c r="D27" s="201">
        <v>-71838.13999999997</v>
      </c>
      <c r="E27" s="225">
        <f>E28-E32</f>
        <v>-103286.59999999999</v>
      </c>
      <c r="F27" s="72"/>
    </row>
    <row r="28" spans="2:6">
      <c r="B28" s="9" t="s">
        <v>18</v>
      </c>
      <c r="C28" s="10" t="s">
        <v>19</v>
      </c>
      <c r="D28" s="201">
        <v>81870.95</v>
      </c>
      <c r="E28" s="226">
        <f>E29+E30+E31</f>
        <v>99531.76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81870.95</v>
      </c>
      <c r="E31" s="227">
        <v>99531.76</v>
      </c>
      <c r="F31" s="72"/>
    </row>
    <row r="32" spans="2:6">
      <c r="B32" s="93" t="s">
        <v>23</v>
      </c>
      <c r="C32" s="11" t="s">
        <v>24</v>
      </c>
      <c r="D32" s="201">
        <v>153709.08999999997</v>
      </c>
      <c r="E32" s="226">
        <f>E33+E35+E37+E39</f>
        <v>202818.36</v>
      </c>
      <c r="F32" s="72"/>
    </row>
    <row r="33" spans="2:6">
      <c r="B33" s="181" t="s">
        <v>4</v>
      </c>
      <c r="C33" s="174" t="s">
        <v>25</v>
      </c>
      <c r="D33" s="202">
        <v>93011.739999999991</v>
      </c>
      <c r="E33" s="227">
        <f>64391.76+2501.44</f>
        <v>66893.2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441.75</v>
      </c>
      <c r="E35" s="227">
        <v>380.92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5484.43</v>
      </c>
      <c r="E37" s="227">
        <v>3523.65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54771.17</v>
      </c>
      <c r="E39" s="228">
        <v>132020.59</v>
      </c>
      <c r="F39" s="72"/>
    </row>
    <row r="40" spans="2:6" ht="13.5" thickBot="1">
      <c r="B40" s="98" t="s">
        <v>35</v>
      </c>
      <c r="C40" s="99" t="s">
        <v>36</v>
      </c>
      <c r="D40" s="204">
        <v>12620.85</v>
      </c>
      <c r="E40" s="233">
        <v>3651.19</v>
      </c>
    </row>
    <row r="41" spans="2:6" ht="13.5" thickBot="1">
      <c r="B41" s="100" t="s">
        <v>37</v>
      </c>
      <c r="C41" s="101" t="s">
        <v>38</v>
      </c>
      <c r="D41" s="205">
        <v>247940.58000000005</v>
      </c>
      <c r="E41" s="149">
        <f>E26+E27+E40</f>
        <v>148305.16999999998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1479.4946</v>
      </c>
      <c r="E47" s="74">
        <v>1145.5780999999999</v>
      </c>
    </row>
    <row r="48" spans="2:6">
      <c r="B48" s="124" t="s">
        <v>6</v>
      </c>
      <c r="C48" s="22" t="s">
        <v>41</v>
      </c>
      <c r="D48" s="207">
        <v>1145.5780999999999</v>
      </c>
      <c r="E48" s="150">
        <v>671.85452999999995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207.61</v>
      </c>
      <c r="E50" s="76">
        <v>216.53</v>
      </c>
    </row>
    <row r="51" spans="2:5">
      <c r="B51" s="103" t="s">
        <v>6</v>
      </c>
      <c r="C51" s="15" t="s">
        <v>190</v>
      </c>
      <c r="D51" s="209">
        <v>207.53</v>
      </c>
      <c r="E51" s="76">
        <v>216.53</v>
      </c>
    </row>
    <row r="52" spans="2:5">
      <c r="B52" s="103" t="s">
        <v>8</v>
      </c>
      <c r="C52" s="15" t="s">
        <v>191</v>
      </c>
      <c r="D52" s="209">
        <v>216.53</v>
      </c>
      <c r="E52" s="76">
        <v>220.98</v>
      </c>
    </row>
    <row r="53" spans="2:5" ht="14.25" customHeight="1" thickBot="1">
      <c r="B53" s="104" t="s">
        <v>9</v>
      </c>
      <c r="C53" s="17" t="s">
        <v>41</v>
      </c>
      <c r="D53" s="210">
        <v>216.53</v>
      </c>
      <c r="E53" s="234">
        <v>220.74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148305.16999999998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148305.16999999998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82">
        <f>D73/E21</f>
        <v>0</v>
      </c>
    </row>
    <row r="74" spans="2:5">
      <c r="B74" s="131" t="s">
        <v>64</v>
      </c>
      <c r="C74" s="122" t="s">
        <v>66</v>
      </c>
      <c r="D74" s="123">
        <f>D58-D73</f>
        <v>148305.16999999998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148305.16999999998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G81"/>
  <sheetViews>
    <sheetView zoomScale="80" zoomScaleNormal="80" workbookViewId="0">
      <selection activeCell="M33" sqref="M3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102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37604020.210000001</v>
      </c>
      <c r="E11" s="258">
        <f>E12+E13+E14</f>
        <v>22448596.600000001</v>
      </c>
    </row>
    <row r="12" spans="2:7">
      <c r="B12" s="107" t="s">
        <v>4</v>
      </c>
      <c r="C12" s="6" t="s">
        <v>5</v>
      </c>
      <c r="D12" s="261">
        <v>37604020.210000001</v>
      </c>
      <c r="E12" s="262">
        <v>22448596.600000001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446414.97</v>
      </c>
      <c r="E17" s="266">
        <f>SUM(E18:E20)</f>
        <v>3706.74</v>
      </c>
    </row>
    <row r="18" spans="2:6">
      <c r="B18" s="107" t="s">
        <v>4</v>
      </c>
      <c r="C18" s="6" t="s">
        <v>11</v>
      </c>
      <c r="D18" s="261">
        <v>446414.97</v>
      </c>
      <c r="E18" s="306">
        <v>3706.74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37157605.240000002</v>
      </c>
      <c r="E21" s="149">
        <f>E11-E17</f>
        <v>22444889.860000003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45379889.990000002</v>
      </c>
      <c r="E26" s="232">
        <f>D21</f>
        <v>37157605.240000002</v>
      </c>
    </row>
    <row r="27" spans="2:6">
      <c r="B27" s="9" t="s">
        <v>17</v>
      </c>
      <c r="C27" s="10" t="s">
        <v>187</v>
      </c>
      <c r="D27" s="201">
        <v>-13465760.85</v>
      </c>
      <c r="E27" s="225">
        <f>E28-E32</f>
        <v>-11414534.459999999</v>
      </c>
      <c r="F27" s="72"/>
    </row>
    <row r="28" spans="2:6">
      <c r="B28" s="9" t="s">
        <v>18</v>
      </c>
      <c r="C28" s="10" t="s">
        <v>19</v>
      </c>
      <c r="D28" s="201">
        <v>1187961.74</v>
      </c>
      <c r="E28" s="226">
        <v>869747.6</v>
      </c>
      <c r="F28" s="72"/>
    </row>
    <row r="29" spans="2:6">
      <c r="B29" s="105" t="s">
        <v>4</v>
      </c>
      <c r="C29" s="6" t="s">
        <v>20</v>
      </c>
      <c r="D29" s="202">
        <v>26193.02</v>
      </c>
      <c r="E29" s="227">
        <v>2000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1161768.72</v>
      </c>
      <c r="E31" s="227">
        <v>867747.6</v>
      </c>
      <c r="F31" s="72"/>
    </row>
    <row r="32" spans="2:6">
      <c r="B32" s="93" t="s">
        <v>23</v>
      </c>
      <c r="C32" s="11" t="s">
        <v>24</v>
      </c>
      <c r="D32" s="201">
        <v>14653722.59</v>
      </c>
      <c r="E32" s="226">
        <f>SUM(E33:E39)</f>
        <v>12284282.059999999</v>
      </c>
      <c r="F32" s="72"/>
    </row>
    <row r="33" spans="2:6">
      <c r="B33" s="105" t="s">
        <v>4</v>
      </c>
      <c r="C33" s="6" t="s">
        <v>25</v>
      </c>
      <c r="D33" s="202">
        <v>10688323.460000001</v>
      </c>
      <c r="E33" s="227">
        <f>11167163.52-16254.16</f>
        <v>11150909.359999999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32200.44</v>
      </c>
      <c r="E35" s="227">
        <v>37842.82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791438.49</v>
      </c>
      <c r="E37" s="227">
        <v>603842.01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3141760.2</v>
      </c>
      <c r="E39" s="228">
        <v>491687.87</v>
      </c>
      <c r="F39" s="72"/>
    </row>
    <row r="40" spans="2:6" ht="13.5" thickBot="1">
      <c r="B40" s="98" t="s">
        <v>35</v>
      </c>
      <c r="C40" s="99" t="s">
        <v>36</v>
      </c>
      <c r="D40" s="204">
        <v>5243476.0999999996</v>
      </c>
      <c r="E40" s="233">
        <v>-3298180.92</v>
      </c>
    </row>
    <row r="41" spans="2:6" ht="13.5" thickBot="1">
      <c r="B41" s="100" t="s">
        <v>37</v>
      </c>
      <c r="C41" s="101" t="s">
        <v>38</v>
      </c>
      <c r="D41" s="205">
        <v>37157605.240000002</v>
      </c>
      <c r="E41" s="149">
        <f>E26+E27+E40</f>
        <v>22444889.859999999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366500.28830000001</v>
      </c>
      <c r="E47" s="74">
        <v>264866.79619999998</v>
      </c>
    </row>
    <row r="48" spans="2:6">
      <c r="B48" s="124" t="s">
        <v>6</v>
      </c>
      <c r="C48" s="22" t="s">
        <v>41</v>
      </c>
      <c r="D48" s="207">
        <v>264866.79619999998</v>
      </c>
      <c r="E48" s="302">
        <v>183473.75649999999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123.819520583572</v>
      </c>
      <c r="E50" s="74">
        <v>140.28789478624401</v>
      </c>
    </row>
    <row r="51" spans="2:5">
      <c r="B51" s="103" t="s">
        <v>6</v>
      </c>
      <c r="C51" s="15" t="s">
        <v>190</v>
      </c>
      <c r="D51" s="294">
        <v>123.81950000000001</v>
      </c>
      <c r="E51" s="235">
        <v>120.7466</v>
      </c>
    </row>
    <row r="52" spans="2:5" ht="12" customHeight="1">
      <c r="B52" s="103" t="s">
        <v>8</v>
      </c>
      <c r="C52" s="15" t="s">
        <v>191</v>
      </c>
      <c r="D52" s="294">
        <v>140.3535</v>
      </c>
      <c r="E52" s="235">
        <v>149.43539999999999</v>
      </c>
    </row>
    <row r="53" spans="2:5" ht="13.5" thickBot="1">
      <c r="B53" s="104" t="s">
        <v>9</v>
      </c>
      <c r="C53" s="17" t="s">
        <v>41</v>
      </c>
      <c r="D53" s="210">
        <v>140.28789478624401</v>
      </c>
      <c r="E53" s="234">
        <v>122.33297169124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22448596.600000001</v>
      </c>
      <c r="E58" s="32">
        <f>D58/E21</f>
        <v>1.0001651485047651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v>21612768.91</v>
      </c>
      <c r="E64" s="82">
        <f>D64/E21</f>
        <v>0.96292603994983461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835827.69</v>
      </c>
      <c r="E69" s="80">
        <f>D69/E21</f>
        <v>3.7239108554930546E-2</v>
      </c>
    </row>
    <row r="70" spans="2:5">
      <c r="B70" s="113" t="s">
        <v>58</v>
      </c>
      <c r="C70" s="114" t="s">
        <v>59</v>
      </c>
      <c r="D70" s="79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23" t="s">
        <v>62</v>
      </c>
      <c r="C73" s="24" t="s">
        <v>65</v>
      </c>
      <c r="D73" s="25">
        <f>E17</f>
        <v>3706.74</v>
      </c>
      <c r="E73" s="26">
        <f>D73/E21</f>
        <v>1.6514850476526238E-4</v>
      </c>
    </row>
    <row r="74" spans="2:5">
      <c r="B74" s="121" t="s">
        <v>64</v>
      </c>
      <c r="C74" s="122" t="s">
        <v>66</v>
      </c>
      <c r="D74" s="123">
        <f>D58+D71+D72-D73</f>
        <v>22444889.860000003</v>
      </c>
      <c r="E74" s="67">
        <f>E58+E72-E73</f>
        <v>0.99999999999999989</v>
      </c>
    </row>
    <row r="75" spans="2:5">
      <c r="B75" s="14" t="s">
        <v>4</v>
      </c>
      <c r="C75" s="15" t="s">
        <v>67</v>
      </c>
      <c r="D75" s="79">
        <f>D74</f>
        <v>22444889.860000003</v>
      </c>
      <c r="E75" s="80">
        <f>D75/E21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f>D76/E21</f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132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150486.65</v>
      </c>
      <c r="E11" s="258">
        <f>E12</f>
        <v>140492.79</v>
      </c>
    </row>
    <row r="12" spans="2:5">
      <c r="B12" s="173" t="s">
        <v>4</v>
      </c>
      <c r="C12" s="174" t="s">
        <v>5</v>
      </c>
      <c r="D12" s="261">
        <v>150486.65</v>
      </c>
      <c r="E12" s="262">
        <f>143223.75-2730.96</f>
        <v>140492.79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150486.65</v>
      </c>
      <c r="E21" s="149">
        <f>E11</f>
        <v>140492.79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144698.82</v>
      </c>
      <c r="E26" s="232">
        <f>D21</f>
        <v>150486.65</v>
      </c>
    </row>
    <row r="27" spans="2:6">
      <c r="B27" s="9" t="s">
        <v>17</v>
      </c>
      <c r="C27" s="10" t="s">
        <v>187</v>
      </c>
      <c r="D27" s="201">
        <v>-10361.959999999999</v>
      </c>
      <c r="E27" s="225">
        <f>E28-E32</f>
        <v>-486.2599999999984</v>
      </c>
      <c r="F27" s="72"/>
    </row>
    <row r="28" spans="2:6">
      <c r="B28" s="9" t="s">
        <v>18</v>
      </c>
      <c r="C28" s="10" t="s">
        <v>19</v>
      </c>
      <c r="D28" s="201">
        <v>56581.93</v>
      </c>
      <c r="E28" s="226">
        <f>E29+E30+E31</f>
        <v>10329.67</v>
      </c>
      <c r="F28" s="72"/>
    </row>
    <row r="29" spans="2:6">
      <c r="B29" s="181" t="s">
        <v>4</v>
      </c>
      <c r="C29" s="174" t="s">
        <v>20</v>
      </c>
      <c r="D29" s="202">
        <v>11414.43</v>
      </c>
      <c r="E29" s="227">
        <v>9556.5400000000009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45167.5</v>
      </c>
      <c r="E31" s="227">
        <v>773.13</v>
      </c>
      <c r="F31" s="72"/>
    </row>
    <row r="32" spans="2:6">
      <c r="B32" s="93" t="s">
        <v>23</v>
      </c>
      <c r="C32" s="11" t="s">
        <v>24</v>
      </c>
      <c r="D32" s="201">
        <v>66943.89</v>
      </c>
      <c r="E32" s="226">
        <f>E33+E35+E37+E39</f>
        <v>10815.929999999998</v>
      </c>
      <c r="F32" s="72"/>
    </row>
    <row r="33" spans="2:6">
      <c r="B33" s="181" t="s">
        <v>4</v>
      </c>
      <c r="C33" s="174" t="s">
        <v>25</v>
      </c>
      <c r="D33" s="202">
        <v>22980.53</v>
      </c>
      <c r="E33" s="227">
        <f>4211.98+2730.96</f>
        <v>6942.94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647.11</v>
      </c>
      <c r="E35" s="227">
        <v>584.69000000000005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2090.4699999999998</v>
      </c>
      <c r="E37" s="227">
        <v>1771.63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41225.78</v>
      </c>
      <c r="E39" s="228">
        <v>1516.67</v>
      </c>
      <c r="F39" s="72"/>
    </row>
    <row r="40" spans="2:6" ht="13.5" thickBot="1">
      <c r="B40" s="98" t="s">
        <v>35</v>
      </c>
      <c r="C40" s="99" t="s">
        <v>36</v>
      </c>
      <c r="D40" s="204">
        <v>16149.79</v>
      </c>
      <c r="E40" s="233">
        <v>-9507.6</v>
      </c>
    </row>
    <row r="41" spans="2:6" ht="13.5" thickBot="1">
      <c r="B41" s="100" t="s">
        <v>37</v>
      </c>
      <c r="C41" s="101" t="s">
        <v>38</v>
      </c>
      <c r="D41" s="205">
        <v>150486.65000000002</v>
      </c>
      <c r="E41" s="149">
        <f>E26+E27+E40</f>
        <v>140492.78999999998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472.65570000000002</v>
      </c>
      <c r="E47" s="74">
        <v>444.59539999999998</v>
      </c>
    </row>
    <row r="48" spans="2:6">
      <c r="B48" s="124" t="s">
        <v>6</v>
      </c>
      <c r="C48" s="22" t="s">
        <v>41</v>
      </c>
      <c r="D48" s="207">
        <v>444.59539999999998</v>
      </c>
      <c r="E48" s="150">
        <v>442.4273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306.14</v>
      </c>
      <c r="E50" s="76">
        <v>338.48</v>
      </c>
    </row>
    <row r="51" spans="2:5">
      <c r="B51" s="103" t="s">
        <v>6</v>
      </c>
      <c r="C51" s="15" t="s">
        <v>190</v>
      </c>
      <c r="D51" s="209">
        <v>306.14</v>
      </c>
      <c r="E51" s="76">
        <v>309.33</v>
      </c>
    </row>
    <row r="52" spans="2:5">
      <c r="B52" s="103" t="s">
        <v>8</v>
      </c>
      <c r="C52" s="15" t="s">
        <v>191</v>
      </c>
      <c r="D52" s="209">
        <v>347.48</v>
      </c>
      <c r="E52" s="76">
        <v>350.65</v>
      </c>
    </row>
    <row r="53" spans="2:5" ht="13.5" customHeight="1" thickBot="1">
      <c r="B53" s="104" t="s">
        <v>9</v>
      </c>
      <c r="C53" s="17" t="s">
        <v>41</v>
      </c>
      <c r="D53" s="210">
        <v>338.48</v>
      </c>
      <c r="E53" s="234">
        <v>317.55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140492.79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140492.79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140492.79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140492.79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284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22242.32</v>
      </c>
      <c r="E11" s="258">
        <f>E12</f>
        <v>27244.59</v>
      </c>
    </row>
    <row r="12" spans="2:5">
      <c r="B12" s="173" t="s">
        <v>4</v>
      </c>
      <c r="C12" s="174" t="s">
        <v>5</v>
      </c>
      <c r="D12" s="261">
        <v>22242.32</v>
      </c>
      <c r="E12" s="262">
        <v>27244.59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22242.32</v>
      </c>
      <c r="E21" s="149">
        <f>E11</f>
        <v>27244.59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17081.25</v>
      </c>
      <c r="E26" s="232">
        <f>D21</f>
        <v>22242.32</v>
      </c>
    </row>
    <row r="27" spans="2:6">
      <c r="B27" s="9" t="s">
        <v>17</v>
      </c>
      <c r="C27" s="10" t="s">
        <v>187</v>
      </c>
      <c r="D27" s="201">
        <v>4726.1400000000003</v>
      </c>
      <c r="E27" s="225">
        <f>E28-E32</f>
        <v>4473.21</v>
      </c>
      <c r="F27" s="72"/>
    </row>
    <row r="28" spans="2:6">
      <c r="B28" s="9" t="s">
        <v>18</v>
      </c>
      <c r="C28" s="10" t="s">
        <v>19</v>
      </c>
      <c r="D28" s="201">
        <v>5000.01</v>
      </c>
      <c r="E28" s="226">
        <f>E29+E30+E31</f>
        <v>5000.01</v>
      </c>
      <c r="F28" s="72"/>
    </row>
    <row r="29" spans="2:6">
      <c r="B29" s="181" t="s">
        <v>4</v>
      </c>
      <c r="C29" s="174" t="s">
        <v>20</v>
      </c>
      <c r="D29" s="202">
        <v>5000.01</v>
      </c>
      <c r="E29" s="227">
        <v>5000.01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273.87</v>
      </c>
      <c r="E32" s="226">
        <f>E33+E35+E37+E39</f>
        <v>526.80000000000007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45.36</v>
      </c>
      <c r="E35" s="227">
        <v>78.260000000000005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228.51</v>
      </c>
      <c r="E37" s="227">
        <v>448.54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434.93</v>
      </c>
      <c r="E40" s="233">
        <v>529.05999999999995</v>
      </c>
    </row>
    <row r="41" spans="2:6" ht="13.5" thickBot="1">
      <c r="B41" s="100" t="s">
        <v>37</v>
      </c>
      <c r="C41" s="101" t="s">
        <v>38</v>
      </c>
      <c r="D41" s="205">
        <v>22242.32</v>
      </c>
      <c r="E41" s="149">
        <f>E26+E27+E40</f>
        <v>27244.59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145.47139999999999</v>
      </c>
      <c r="E47" s="74">
        <v>184.96729999999999</v>
      </c>
    </row>
    <row r="48" spans="2:6">
      <c r="B48" s="124" t="s">
        <v>6</v>
      </c>
      <c r="C48" s="22" t="s">
        <v>41</v>
      </c>
      <c r="D48" s="207">
        <v>184.96729999999999</v>
      </c>
      <c r="E48" s="150">
        <v>221.48269999999999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117.42</v>
      </c>
      <c r="E50" s="76">
        <v>120.25</v>
      </c>
    </row>
    <row r="51" spans="2:5">
      <c r="B51" s="103" t="s">
        <v>6</v>
      </c>
      <c r="C51" s="15" t="s">
        <v>190</v>
      </c>
      <c r="D51" s="209">
        <v>117.42</v>
      </c>
      <c r="E51" s="76">
        <v>120.25</v>
      </c>
    </row>
    <row r="52" spans="2:5">
      <c r="B52" s="103" t="s">
        <v>8</v>
      </c>
      <c r="C52" s="15" t="s">
        <v>191</v>
      </c>
      <c r="D52" s="209">
        <v>120.25</v>
      </c>
      <c r="E52" s="76">
        <v>123.01</v>
      </c>
    </row>
    <row r="53" spans="2:5" ht="13.5" customHeight="1" thickBot="1">
      <c r="B53" s="104" t="s">
        <v>9</v>
      </c>
      <c r="C53" s="17" t="s">
        <v>41</v>
      </c>
      <c r="D53" s="210">
        <v>120.25</v>
      </c>
      <c r="E53" s="234">
        <v>123.01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27244.59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27244.59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27244.59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27244.59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163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596963.11</v>
      </c>
      <c r="E11" s="258">
        <f>E12</f>
        <v>279765.01</v>
      </c>
    </row>
    <row r="12" spans="2:5">
      <c r="B12" s="173" t="s">
        <v>4</v>
      </c>
      <c r="C12" s="174" t="s">
        <v>5</v>
      </c>
      <c r="D12" s="261">
        <v>596963.11</v>
      </c>
      <c r="E12" s="262">
        <v>279765.01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596963.11</v>
      </c>
      <c r="E21" s="149">
        <f>E11</f>
        <v>279765.01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932848.72</v>
      </c>
      <c r="E26" s="232">
        <f>D21</f>
        <v>596963.11</v>
      </c>
    </row>
    <row r="27" spans="2:6">
      <c r="B27" s="9" t="s">
        <v>17</v>
      </c>
      <c r="C27" s="10" t="s">
        <v>187</v>
      </c>
      <c r="D27" s="201">
        <v>-309411.01999999996</v>
      </c>
      <c r="E27" s="225">
        <f>E28-E32</f>
        <v>-297079.48000000004</v>
      </c>
      <c r="F27" s="72"/>
    </row>
    <row r="28" spans="2:6">
      <c r="B28" s="9" t="s">
        <v>18</v>
      </c>
      <c r="C28" s="10" t="s">
        <v>19</v>
      </c>
      <c r="D28" s="201">
        <v>1457.21</v>
      </c>
      <c r="E28" s="226">
        <f>E29+E30+E31</f>
        <v>1500.92</v>
      </c>
      <c r="F28" s="72"/>
    </row>
    <row r="29" spans="2:6">
      <c r="B29" s="181" t="s">
        <v>4</v>
      </c>
      <c r="C29" s="174" t="s">
        <v>20</v>
      </c>
      <c r="D29" s="202">
        <v>1457.21</v>
      </c>
      <c r="E29" s="227">
        <v>1500.92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310868.23</v>
      </c>
      <c r="E32" s="226">
        <f>E33+E35+E37+E39</f>
        <v>298580.40000000002</v>
      </c>
      <c r="F32" s="72"/>
    </row>
    <row r="33" spans="2:6">
      <c r="B33" s="181" t="s">
        <v>4</v>
      </c>
      <c r="C33" s="174" t="s">
        <v>25</v>
      </c>
      <c r="D33" s="202">
        <v>272294.86</v>
      </c>
      <c r="E33" s="227">
        <v>293233.82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29.2</v>
      </c>
      <c r="E35" s="227">
        <v>26.19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11422.49</v>
      </c>
      <c r="E37" s="227">
        <v>5320.39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27121.68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-26474.59</v>
      </c>
      <c r="E40" s="233">
        <v>-20118.62</v>
      </c>
    </row>
    <row r="41" spans="2:6" ht="13.5" thickBot="1">
      <c r="B41" s="100" t="s">
        <v>37</v>
      </c>
      <c r="C41" s="101" t="s">
        <v>38</v>
      </c>
      <c r="D41" s="205">
        <v>596963.11</v>
      </c>
      <c r="E41" s="149">
        <f>E26+E27+E40</f>
        <v>279765.00999999995</v>
      </c>
      <c r="F41" s="78"/>
    </row>
    <row r="42" spans="2:6">
      <c r="B42" s="94"/>
      <c r="C42" s="94"/>
      <c r="D42" s="224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4616.6917000000003</v>
      </c>
      <c r="E47" s="74">
        <v>3052.4268000000002</v>
      </c>
    </row>
    <row r="48" spans="2:6">
      <c r="B48" s="124" t="s">
        <v>6</v>
      </c>
      <c r="C48" s="22" t="s">
        <v>41</v>
      </c>
      <c r="D48" s="207">
        <v>3052.4268000000002</v>
      </c>
      <c r="E48" s="150">
        <v>1525.2699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202.06</v>
      </c>
      <c r="E50" s="76">
        <v>195.57</v>
      </c>
    </row>
    <row r="51" spans="2:5">
      <c r="B51" s="103" t="s">
        <v>6</v>
      </c>
      <c r="C51" s="15" t="s">
        <v>190</v>
      </c>
      <c r="D51" s="209">
        <v>191.69</v>
      </c>
      <c r="E51" s="76">
        <v>165.92</v>
      </c>
    </row>
    <row r="52" spans="2:5">
      <c r="B52" s="103" t="s">
        <v>8</v>
      </c>
      <c r="C52" s="15" t="s">
        <v>191</v>
      </c>
      <c r="D52" s="209">
        <v>204.79</v>
      </c>
      <c r="E52" s="76">
        <v>197.07</v>
      </c>
    </row>
    <row r="53" spans="2:5" ht="13.5" customHeight="1" thickBot="1">
      <c r="B53" s="104" t="s">
        <v>9</v>
      </c>
      <c r="C53" s="17" t="s">
        <v>41</v>
      </c>
      <c r="D53" s="210">
        <v>195.57</v>
      </c>
      <c r="E53" s="234">
        <v>183.42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279765.01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279765.01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279765.01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279765.01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131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75258.92</v>
      </c>
      <c r="E11" s="258">
        <f>E12</f>
        <v>34542.54</v>
      </c>
    </row>
    <row r="12" spans="2:5">
      <c r="B12" s="173" t="s">
        <v>4</v>
      </c>
      <c r="C12" s="174" t="s">
        <v>5</v>
      </c>
      <c r="D12" s="261">
        <v>75258.92</v>
      </c>
      <c r="E12" s="262">
        <v>34542.54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75258.92</v>
      </c>
      <c r="E21" s="149">
        <f>E11</f>
        <v>34542.54</v>
      </c>
      <c r="F21" s="78"/>
    </row>
    <row r="22" spans="2:6">
      <c r="B22" s="3"/>
      <c r="C22" s="7"/>
      <c r="D22" s="8"/>
      <c r="E22" s="223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65369.14</v>
      </c>
      <c r="E26" s="232">
        <f>D21</f>
        <v>75258.92</v>
      </c>
    </row>
    <row r="27" spans="2:6">
      <c r="B27" s="9" t="s">
        <v>17</v>
      </c>
      <c r="C27" s="10" t="s">
        <v>187</v>
      </c>
      <c r="D27" s="201">
        <v>3654.01</v>
      </c>
      <c r="E27" s="225">
        <f>E28-E32</f>
        <v>-40780.239999999998</v>
      </c>
      <c r="F27" s="72"/>
    </row>
    <row r="28" spans="2:6">
      <c r="B28" s="9" t="s">
        <v>18</v>
      </c>
      <c r="C28" s="10" t="s">
        <v>19</v>
      </c>
      <c r="D28" s="201">
        <v>4738.58</v>
      </c>
      <c r="E28" s="226">
        <f>E29+E30+E31</f>
        <v>4940.5600000000004</v>
      </c>
      <c r="F28" s="72"/>
    </row>
    <row r="29" spans="2:6">
      <c r="B29" s="181" t="s">
        <v>4</v>
      </c>
      <c r="C29" s="174" t="s">
        <v>20</v>
      </c>
      <c r="D29" s="202">
        <v>4738.58</v>
      </c>
      <c r="E29" s="227">
        <v>4940.5600000000004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1084.57</v>
      </c>
      <c r="E32" s="226">
        <f>E33+E35+E37+E39</f>
        <v>45720.799999999996</v>
      </c>
      <c r="F32" s="72"/>
    </row>
    <row r="33" spans="2:6">
      <c r="B33" s="181" t="s">
        <v>4</v>
      </c>
      <c r="C33" s="174" t="s">
        <v>25</v>
      </c>
      <c r="D33" s="202"/>
      <c r="E33" s="227">
        <v>45025.59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107.42</v>
      </c>
      <c r="E35" s="227">
        <v>73.17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977.15</v>
      </c>
      <c r="E37" s="227">
        <v>622.04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6235.77</v>
      </c>
      <c r="E40" s="233">
        <v>63.86</v>
      </c>
    </row>
    <row r="41" spans="2:6" ht="13.5" thickBot="1">
      <c r="B41" s="100" t="s">
        <v>37</v>
      </c>
      <c r="C41" s="101" t="s">
        <v>38</v>
      </c>
      <c r="D41" s="205">
        <v>75258.92</v>
      </c>
      <c r="E41" s="149">
        <f>E26+E27+E40</f>
        <v>34542.54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393.6003</v>
      </c>
      <c r="E47" s="74">
        <v>414.3073</v>
      </c>
    </row>
    <row r="48" spans="2:6">
      <c r="B48" s="124" t="s">
        <v>6</v>
      </c>
      <c r="C48" s="22" t="s">
        <v>41</v>
      </c>
      <c r="D48" s="207">
        <v>414.3073</v>
      </c>
      <c r="E48" s="150">
        <v>194.6936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166.08</v>
      </c>
      <c r="E50" s="76">
        <v>181.65</v>
      </c>
    </row>
    <row r="51" spans="2:5">
      <c r="B51" s="103" t="s">
        <v>6</v>
      </c>
      <c r="C51" s="15" t="s">
        <v>190</v>
      </c>
      <c r="D51" s="209">
        <v>165.92</v>
      </c>
      <c r="E51" s="76">
        <v>173.25</v>
      </c>
    </row>
    <row r="52" spans="2:5">
      <c r="B52" s="103" t="s">
        <v>8</v>
      </c>
      <c r="C52" s="15" t="s">
        <v>191</v>
      </c>
      <c r="D52" s="209">
        <v>182.87</v>
      </c>
      <c r="E52" s="76">
        <v>185.64</v>
      </c>
    </row>
    <row r="53" spans="2:5" ht="13.5" customHeight="1" thickBot="1">
      <c r="B53" s="104" t="s">
        <v>9</v>
      </c>
      <c r="C53" s="17" t="s">
        <v>41</v>
      </c>
      <c r="D53" s="210">
        <v>181.65</v>
      </c>
      <c r="E53" s="234">
        <v>177.42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34542.54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34542.54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34542.54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34542.54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262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0</v>
      </c>
      <c r="E11" s="258">
        <f>E12</f>
        <v>0</v>
      </c>
    </row>
    <row r="12" spans="2:5">
      <c r="B12" s="173" t="s">
        <v>4</v>
      </c>
      <c r="C12" s="174" t="s">
        <v>5</v>
      </c>
      <c r="D12" s="248"/>
      <c r="E12" s="242"/>
    </row>
    <row r="13" spans="2:5">
      <c r="B13" s="173" t="s">
        <v>6</v>
      </c>
      <c r="C13" s="175" t="s">
        <v>7</v>
      </c>
      <c r="D13" s="248"/>
      <c r="E13" s="242"/>
    </row>
    <row r="14" spans="2:5">
      <c r="B14" s="173" t="s">
        <v>8</v>
      </c>
      <c r="C14" s="175" t="s">
        <v>10</v>
      </c>
      <c r="D14" s="248"/>
      <c r="E14" s="242"/>
    </row>
    <row r="15" spans="2:5">
      <c r="B15" s="173" t="s">
        <v>182</v>
      </c>
      <c r="C15" s="175" t="s">
        <v>11</v>
      </c>
      <c r="D15" s="248"/>
      <c r="E15" s="242"/>
    </row>
    <row r="16" spans="2:5">
      <c r="B16" s="176" t="s">
        <v>183</v>
      </c>
      <c r="C16" s="177" t="s">
        <v>12</v>
      </c>
      <c r="D16" s="249"/>
      <c r="E16" s="243"/>
    </row>
    <row r="17" spans="2:6">
      <c r="B17" s="9" t="s">
        <v>13</v>
      </c>
      <c r="C17" s="11" t="s">
        <v>65</v>
      </c>
      <c r="D17" s="250"/>
      <c r="E17" s="244"/>
    </row>
    <row r="18" spans="2:6">
      <c r="B18" s="173" t="s">
        <v>4</v>
      </c>
      <c r="C18" s="174" t="s">
        <v>11</v>
      </c>
      <c r="D18" s="248"/>
      <c r="E18" s="243"/>
    </row>
    <row r="19" spans="2:6" ht="15" customHeight="1">
      <c r="B19" s="173" t="s">
        <v>6</v>
      </c>
      <c r="C19" s="175" t="s">
        <v>184</v>
      </c>
      <c r="D19" s="248"/>
      <c r="E19" s="242"/>
    </row>
    <row r="20" spans="2:6" ht="13.5" thickBot="1">
      <c r="B20" s="178" t="s">
        <v>8</v>
      </c>
      <c r="C20" s="179" t="s">
        <v>14</v>
      </c>
      <c r="D20" s="251"/>
      <c r="E20" s="245"/>
    </row>
    <row r="21" spans="2:6" ht="13.5" thickBot="1">
      <c r="B21" s="364" t="s">
        <v>186</v>
      </c>
      <c r="C21" s="365"/>
      <c r="D21" s="252">
        <v>0</v>
      </c>
      <c r="E21" s="246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485575.32</v>
      </c>
      <c r="E26" s="232">
        <f>D21</f>
        <v>0</v>
      </c>
    </row>
    <row r="27" spans="2:6">
      <c r="B27" s="9" t="s">
        <v>17</v>
      </c>
      <c r="C27" s="10" t="s">
        <v>187</v>
      </c>
      <c r="D27" s="201">
        <v>-485430.04</v>
      </c>
      <c r="E27" s="225">
        <f>E28-E32</f>
        <v>0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485430.04</v>
      </c>
      <c r="E32" s="226">
        <f>E33+E35+E37+E39</f>
        <v>0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250.27</v>
      </c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916.42</v>
      </c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484263.35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-145.27000000000001</v>
      </c>
      <c r="E40" s="233">
        <v>0</v>
      </c>
    </row>
    <row r="41" spans="2:6" ht="13.5" thickBot="1">
      <c r="B41" s="100" t="s">
        <v>37</v>
      </c>
      <c r="C41" s="101" t="s">
        <v>38</v>
      </c>
      <c r="D41" s="205">
        <v>0</v>
      </c>
      <c r="E41" s="149">
        <v>0</v>
      </c>
      <c r="F41" s="78"/>
    </row>
    <row r="42" spans="2:6">
      <c r="B42" s="94"/>
      <c r="C42" s="94"/>
      <c r="D42" s="95"/>
      <c r="E42" s="224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4851.3869999999997</v>
      </c>
      <c r="E47" s="74"/>
    </row>
    <row r="48" spans="2:6">
      <c r="B48" s="124" t="s">
        <v>6</v>
      </c>
      <c r="C48" s="22" t="s">
        <v>41</v>
      </c>
      <c r="D48" s="207"/>
      <c r="E48" s="150"/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100.09</v>
      </c>
      <c r="E50" s="76"/>
    </row>
    <row r="51" spans="2:5">
      <c r="B51" s="103" t="s">
        <v>6</v>
      </c>
      <c r="C51" s="15" t="s">
        <v>190</v>
      </c>
      <c r="D51" s="209">
        <v>100.06</v>
      </c>
      <c r="E51" s="76"/>
    </row>
    <row r="52" spans="2:5">
      <c r="B52" s="103" t="s">
        <v>8</v>
      </c>
      <c r="C52" s="15" t="s">
        <v>191</v>
      </c>
      <c r="D52" s="209">
        <v>100.09</v>
      </c>
      <c r="E52" s="76"/>
    </row>
    <row r="53" spans="2:5" ht="12.75" customHeight="1" thickBot="1">
      <c r="B53" s="104" t="s">
        <v>9</v>
      </c>
      <c r="C53" s="17" t="s">
        <v>41</v>
      </c>
      <c r="D53" s="210"/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1" bottom="0.49" header="0.5" footer="0.5"/>
  <pageSetup paperSize="9" scale="70" orientation="portrait" r:id="rId1"/>
  <headerFooter alignWithMargins="0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167</v>
      </c>
      <c r="C6" s="356"/>
      <c r="D6" s="356"/>
      <c r="E6" s="356"/>
    </row>
    <row r="7" spans="2:5" ht="14.25">
      <c r="B7" s="146"/>
      <c r="C7" s="146"/>
      <c r="D7" s="146"/>
      <c r="E7" s="146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47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1769900.47</v>
      </c>
      <c r="E11" s="258">
        <f>E12</f>
        <v>985073.05</v>
      </c>
    </row>
    <row r="12" spans="2:5">
      <c r="B12" s="173" t="s">
        <v>4</v>
      </c>
      <c r="C12" s="174" t="s">
        <v>5</v>
      </c>
      <c r="D12" s="261">
        <v>1769900.47</v>
      </c>
      <c r="E12" s="262">
        <v>985073.05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1769900.47</v>
      </c>
      <c r="E21" s="149">
        <f>E11</f>
        <v>985073.05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1978121.52</v>
      </c>
      <c r="E26" s="232">
        <f>D21</f>
        <v>1769900.47</v>
      </c>
    </row>
    <row r="27" spans="2:6">
      <c r="B27" s="9" t="s">
        <v>17</v>
      </c>
      <c r="C27" s="10" t="s">
        <v>187</v>
      </c>
      <c r="D27" s="201">
        <v>-310110.9600000002</v>
      </c>
      <c r="E27" s="225">
        <f>E28-E32</f>
        <v>-775321.67000000016</v>
      </c>
      <c r="F27" s="72"/>
    </row>
    <row r="28" spans="2:6">
      <c r="B28" s="9" t="s">
        <v>18</v>
      </c>
      <c r="C28" s="10" t="s">
        <v>19</v>
      </c>
      <c r="D28" s="201">
        <v>1036906.25</v>
      </c>
      <c r="E28" s="226">
        <f>E29+E30+E31</f>
        <v>39653.72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1036906.25</v>
      </c>
      <c r="E31" s="227">
        <v>39653.72</v>
      </c>
      <c r="F31" s="72"/>
    </row>
    <row r="32" spans="2:6">
      <c r="B32" s="93" t="s">
        <v>23</v>
      </c>
      <c r="C32" s="11" t="s">
        <v>24</v>
      </c>
      <c r="D32" s="201">
        <v>1347017.2100000002</v>
      </c>
      <c r="E32" s="226">
        <f>E33+E35+E37+E39</f>
        <v>814975.39000000013</v>
      </c>
      <c r="F32" s="72"/>
    </row>
    <row r="33" spans="2:6">
      <c r="B33" s="181" t="s">
        <v>4</v>
      </c>
      <c r="C33" s="174" t="s">
        <v>25</v>
      </c>
      <c r="D33" s="202">
        <v>911345.67</v>
      </c>
      <c r="E33" s="227">
        <v>702884.42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6996.52</v>
      </c>
      <c r="E35" s="227">
        <v>3693.05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28226.81</v>
      </c>
      <c r="E37" s="227">
        <v>22619.81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400448.21</v>
      </c>
      <c r="E39" s="228">
        <v>85778.11</v>
      </c>
      <c r="F39" s="72"/>
    </row>
    <row r="40" spans="2:6" ht="13.5" thickBot="1">
      <c r="B40" s="98" t="s">
        <v>35</v>
      </c>
      <c r="C40" s="99" t="s">
        <v>36</v>
      </c>
      <c r="D40" s="204">
        <v>101889.91</v>
      </c>
      <c r="E40" s="233">
        <v>-9505.75</v>
      </c>
    </row>
    <row r="41" spans="2:6" ht="13.5" thickBot="1">
      <c r="B41" s="100" t="s">
        <v>37</v>
      </c>
      <c r="C41" s="101" t="s">
        <v>38</v>
      </c>
      <c r="D41" s="205">
        <v>1769900.4699999997</v>
      </c>
      <c r="E41" s="149">
        <f>E26+E27+E40</f>
        <v>985073.04999999981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4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13344.947200000001</v>
      </c>
      <c r="E47" s="74">
        <v>11323.7394</v>
      </c>
    </row>
    <row r="48" spans="2:6">
      <c r="B48" s="124" t="s">
        <v>6</v>
      </c>
      <c r="C48" s="22" t="s">
        <v>41</v>
      </c>
      <c r="D48" s="207">
        <v>11323.7394</v>
      </c>
      <c r="E48" s="150">
        <v>6287.9678999999996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148.22999999999999</v>
      </c>
      <c r="E50" s="76">
        <v>156.30000000000001</v>
      </c>
    </row>
    <row r="51" spans="2:5">
      <c r="B51" s="103" t="s">
        <v>6</v>
      </c>
      <c r="C51" s="15" t="s">
        <v>190</v>
      </c>
      <c r="D51" s="209">
        <v>145.79</v>
      </c>
      <c r="E51" s="76">
        <v>149.37</v>
      </c>
    </row>
    <row r="52" spans="2:5">
      <c r="B52" s="103" t="s">
        <v>8</v>
      </c>
      <c r="C52" s="15" t="s">
        <v>191</v>
      </c>
      <c r="D52" s="209">
        <v>156.30000000000001</v>
      </c>
      <c r="E52" s="76">
        <v>158</v>
      </c>
    </row>
    <row r="53" spans="2:5" ht="13.5" customHeight="1" thickBot="1">
      <c r="B53" s="104" t="s">
        <v>9</v>
      </c>
      <c r="C53" s="17" t="s">
        <v>41</v>
      </c>
      <c r="D53" s="210">
        <v>156.30000000000001</v>
      </c>
      <c r="E53" s="234">
        <v>156.66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985073.05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985073.05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985073.05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985073.05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266</v>
      </c>
      <c r="C6" s="356"/>
      <c r="D6" s="356"/>
      <c r="E6" s="356"/>
    </row>
    <row r="7" spans="2:5" ht="14.25">
      <c r="B7" s="221"/>
      <c r="C7" s="221"/>
      <c r="D7" s="221"/>
      <c r="E7" s="221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222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0</v>
      </c>
      <c r="E11" s="258">
        <f>E12</f>
        <v>121343.89</v>
      </c>
    </row>
    <row r="12" spans="2:5">
      <c r="B12" s="173" t="s">
        <v>4</v>
      </c>
      <c r="C12" s="174" t="s">
        <v>5</v>
      </c>
      <c r="D12" s="261"/>
      <c r="E12" s="262">
        <v>121343.89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0</v>
      </c>
      <c r="E21" s="149">
        <f>E11</f>
        <v>121343.89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22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/>
      <c r="E26" s="232">
        <f>D21</f>
        <v>0</v>
      </c>
    </row>
    <row r="27" spans="2:6">
      <c r="B27" s="9" t="s">
        <v>17</v>
      </c>
      <c r="C27" s="10" t="s">
        <v>187</v>
      </c>
      <c r="D27" s="201"/>
      <c r="E27" s="225">
        <f>E28-E32</f>
        <v>142406.06</v>
      </c>
      <c r="F27" s="72"/>
    </row>
    <row r="28" spans="2:6">
      <c r="B28" s="9" t="s">
        <v>18</v>
      </c>
      <c r="C28" s="10" t="s">
        <v>19</v>
      </c>
      <c r="D28" s="201"/>
      <c r="E28" s="226">
        <f>E29+E30+E31</f>
        <v>144145.78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144145.78</v>
      </c>
      <c r="F31" s="72"/>
    </row>
    <row r="32" spans="2:6">
      <c r="B32" s="93" t="s">
        <v>23</v>
      </c>
      <c r="C32" s="11" t="s">
        <v>24</v>
      </c>
      <c r="D32" s="201"/>
      <c r="E32" s="226">
        <f>E33+E35+E37+E39</f>
        <v>1739.72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>
        <v>1739.72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/>
      <c r="E40" s="233">
        <v>-21062.17</v>
      </c>
    </row>
    <row r="41" spans="2:6" ht="13.5" thickBot="1">
      <c r="B41" s="100" t="s">
        <v>37</v>
      </c>
      <c r="C41" s="101" t="s">
        <v>38</v>
      </c>
      <c r="D41" s="205"/>
      <c r="E41" s="149">
        <f>E26+E27+E40</f>
        <v>121343.89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22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/>
      <c r="E47" s="74"/>
    </row>
    <row r="48" spans="2:6">
      <c r="B48" s="124" t="s">
        <v>6</v>
      </c>
      <c r="C48" s="22" t="s">
        <v>41</v>
      </c>
      <c r="D48" s="207"/>
      <c r="E48" s="150">
        <v>1164.5287000000001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/>
      <c r="E50" s="76"/>
    </row>
    <row r="51" spans="2:5">
      <c r="B51" s="103" t="s">
        <v>6</v>
      </c>
      <c r="C51" s="15" t="s">
        <v>190</v>
      </c>
      <c r="D51" s="209"/>
      <c r="E51" s="76">
        <v>100.41</v>
      </c>
    </row>
    <row r="52" spans="2:5">
      <c r="B52" s="103" t="s">
        <v>8</v>
      </c>
      <c r="C52" s="15" t="s">
        <v>191</v>
      </c>
      <c r="D52" s="209"/>
      <c r="E52" s="76">
        <v>122.27</v>
      </c>
    </row>
    <row r="53" spans="2:5" ht="12.75" customHeight="1" thickBot="1">
      <c r="B53" s="104" t="s">
        <v>9</v>
      </c>
      <c r="C53" s="17" t="s">
        <v>41</v>
      </c>
      <c r="D53" s="210"/>
      <c r="E53" s="234">
        <v>104.2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121343.89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121343.89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121343.89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121343.89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F49"/>
  <sheetViews>
    <sheetView tabSelected="1" workbookViewId="0">
      <selection activeCell="I32" sqref="I32"/>
    </sheetView>
  </sheetViews>
  <sheetFormatPr defaultRowHeight="12.75"/>
  <cols>
    <col min="3" max="3" width="13.85546875" customWidth="1"/>
    <col min="4" max="4" width="19" customWidth="1"/>
    <col min="5" max="5" width="16.7109375" customWidth="1"/>
    <col min="6" max="6" width="11.28515625" bestFit="1" customWidth="1"/>
    <col min="7" max="7" width="12.28515625" bestFit="1" customWidth="1"/>
  </cols>
  <sheetData>
    <row r="1" spans="1:6">
      <c r="A1" s="33"/>
      <c r="B1" s="34"/>
      <c r="C1" s="34" t="s">
        <v>93</v>
      </c>
      <c r="D1" s="35"/>
      <c r="E1" s="35"/>
      <c r="F1" s="35"/>
    </row>
    <row r="2" spans="1:6">
      <c r="A2" s="33"/>
      <c r="B2" s="34"/>
      <c r="C2" s="34" t="s">
        <v>94</v>
      </c>
      <c r="D2" s="35"/>
      <c r="E2" s="35"/>
      <c r="F2" s="35"/>
    </row>
    <row r="3" spans="1:6">
      <c r="A3" s="33"/>
      <c r="B3" s="34"/>
      <c r="C3" s="34" t="s">
        <v>95</v>
      </c>
      <c r="D3" s="35"/>
      <c r="E3" s="35"/>
      <c r="F3" s="35"/>
    </row>
    <row r="4" spans="1:6">
      <c r="A4" s="33"/>
      <c r="B4" s="34"/>
      <c r="C4" s="34" t="s">
        <v>96</v>
      </c>
      <c r="D4" s="35"/>
      <c r="E4" s="35"/>
      <c r="F4" s="35"/>
    </row>
    <row r="5" spans="1:6">
      <c r="A5" s="33"/>
      <c r="B5" s="34"/>
      <c r="C5" s="34" t="s">
        <v>291</v>
      </c>
      <c r="D5" s="35"/>
      <c r="E5" s="35"/>
      <c r="F5" s="35"/>
    </row>
    <row r="6" spans="1:6" ht="13.5" thickBot="1">
      <c r="A6" s="33"/>
      <c r="B6" s="34"/>
      <c r="C6" s="34"/>
      <c r="D6" s="35"/>
      <c r="E6" s="35"/>
      <c r="F6" s="35"/>
    </row>
    <row r="7" spans="1:6">
      <c r="A7" s="33"/>
      <c r="B7" s="36"/>
      <c r="C7" s="37"/>
      <c r="D7" s="38"/>
      <c r="E7" s="39"/>
      <c r="F7" s="40"/>
    </row>
    <row r="8" spans="1:6">
      <c r="A8" s="33"/>
      <c r="B8" s="41"/>
      <c r="C8" s="42"/>
      <c r="D8" s="43"/>
      <c r="E8" s="44"/>
      <c r="F8" s="40"/>
    </row>
    <row r="9" spans="1:6">
      <c r="A9" s="33"/>
      <c r="B9" s="41"/>
      <c r="C9" s="42"/>
      <c r="D9" s="43" t="s">
        <v>223</v>
      </c>
      <c r="E9" s="44" t="s">
        <v>267</v>
      </c>
      <c r="F9" s="40"/>
    </row>
    <row r="10" spans="1:6" ht="13.5" thickBot="1">
      <c r="A10" s="33"/>
      <c r="B10" s="45"/>
      <c r="C10" s="46"/>
      <c r="D10" s="47"/>
      <c r="E10" s="48"/>
      <c r="F10" s="40"/>
    </row>
    <row r="11" spans="1:6">
      <c r="A11" s="33"/>
      <c r="B11" s="41"/>
      <c r="C11" s="42"/>
      <c r="D11" s="43"/>
      <c r="E11" s="44"/>
      <c r="F11" s="156"/>
    </row>
    <row r="12" spans="1:6">
      <c r="A12" s="33"/>
      <c r="B12" s="41"/>
      <c r="C12" s="42"/>
      <c r="D12" s="49"/>
      <c r="E12" s="50"/>
      <c r="F12" s="156"/>
    </row>
    <row r="13" spans="1:6">
      <c r="A13" s="33"/>
      <c r="B13" s="51" t="s">
        <v>97</v>
      </c>
      <c r="C13" s="52"/>
      <c r="D13" s="53">
        <v>198408841.22999999</v>
      </c>
      <c r="E13" s="54">
        <v>172252017.06</v>
      </c>
      <c r="F13" s="156"/>
    </row>
    <row r="14" spans="1:6">
      <c r="A14" s="33"/>
      <c r="B14" s="51"/>
      <c r="C14" s="52"/>
      <c r="D14" s="55"/>
      <c r="E14" s="56"/>
      <c r="F14" s="156"/>
    </row>
    <row r="15" spans="1:6">
      <c r="A15" s="33"/>
      <c r="B15" s="51"/>
      <c r="C15" s="52"/>
      <c r="D15" s="55"/>
      <c r="E15" s="56"/>
      <c r="F15" s="40"/>
    </row>
    <row r="16" spans="1:6" ht="13.5" thickBot="1">
      <c r="A16" s="33"/>
      <c r="B16" s="51"/>
      <c r="C16" s="52"/>
      <c r="D16" s="55"/>
      <c r="E16" s="56"/>
      <c r="F16" s="40"/>
    </row>
    <row r="17" spans="1:6">
      <c r="A17" s="33"/>
      <c r="B17" s="57"/>
      <c r="C17" s="58"/>
      <c r="D17" s="59"/>
      <c r="E17" s="60"/>
      <c r="F17" s="33"/>
    </row>
    <row r="18" spans="1:6">
      <c r="A18" s="33"/>
      <c r="B18" s="51" t="s">
        <v>98</v>
      </c>
      <c r="C18" s="52"/>
      <c r="D18" s="73">
        <v>24773025.27999999</v>
      </c>
      <c r="E18" s="73">
        <f>SUM('Fundusz Gwarantowany:UniAkcje Daleki Wschod'!E35)</f>
        <v>23738179.330000021</v>
      </c>
      <c r="F18" s="33"/>
    </row>
    <row r="19" spans="1:6">
      <c r="A19" s="33"/>
      <c r="B19" s="51"/>
      <c r="C19" s="52"/>
      <c r="D19" s="55"/>
      <c r="E19" s="56"/>
      <c r="F19" s="33"/>
    </row>
    <row r="20" spans="1:6" ht="13.5" thickBot="1">
      <c r="A20" s="33"/>
      <c r="B20" s="61"/>
      <c r="C20" s="62"/>
      <c r="D20" s="63"/>
      <c r="E20" s="64"/>
      <c r="F20" s="33"/>
    </row>
    <row r="21" spans="1:6">
      <c r="A21" s="33"/>
      <c r="B21" s="51"/>
      <c r="C21" s="52"/>
      <c r="D21" s="55"/>
      <c r="E21" s="56"/>
      <c r="F21" s="33"/>
    </row>
    <row r="22" spans="1:6">
      <c r="A22" s="33"/>
      <c r="B22" s="51"/>
      <c r="C22" s="52"/>
      <c r="D22" s="55"/>
      <c r="E22" s="56"/>
      <c r="F22" s="33"/>
    </row>
    <row r="23" spans="1:6">
      <c r="A23" s="33"/>
      <c r="B23" s="51" t="s">
        <v>99</v>
      </c>
      <c r="C23" s="52"/>
      <c r="D23" s="55">
        <v>173635815.94999999</v>
      </c>
      <c r="E23" s="56">
        <f>E13-E18</f>
        <v>148513837.72999999</v>
      </c>
      <c r="F23" s="33"/>
    </row>
    <row r="24" spans="1:6">
      <c r="A24" s="33"/>
      <c r="B24" s="41"/>
      <c r="C24" s="42"/>
      <c r="D24" s="49"/>
      <c r="E24" s="50"/>
      <c r="F24" s="33"/>
    </row>
    <row r="25" spans="1:6">
      <c r="A25" s="33"/>
      <c r="B25" s="41"/>
      <c r="C25" s="42"/>
      <c r="D25" s="49"/>
      <c r="E25" s="50"/>
      <c r="F25" s="33"/>
    </row>
    <row r="26" spans="1:6" ht="13.5" thickBot="1">
      <c r="A26" s="33"/>
      <c r="B26" s="45"/>
      <c r="C26" s="46"/>
      <c r="D26" s="65"/>
      <c r="E26" s="66"/>
      <c r="F26" s="33"/>
    </row>
    <row r="28" spans="1:6">
      <c r="E28" s="68"/>
    </row>
    <row r="30" spans="1:6">
      <c r="D30" s="72"/>
      <c r="E30" s="72"/>
    </row>
    <row r="31" spans="1:6">
      <c r="D31" s="72"/>
      <c r="E31" s="72"/>
    </row>
    <row r="32" spans="1:6">
      <c r="D32" s="72"/>
      <c r="E32" s="72"/>
    </row>
    <row r="33" spans="4:5">
      <c r="D33" s="72"/>
      <c r="E33" s="72"/>
    </row>
    <row r="34" spans="4:5">
      <c r="D34" s="72"/>
      <c r="E34" s="72"/>
    </row>
    <row r="35" spans="4:5">
      <c r="D35" s="72"/>
      <c r="E35" s="72"/>
    </row>
    <row r="38" spans="4:5">
      <c r="E38" s="72"/>
    </row>
    <row r="39" spans="4:5">
      <c r="E39" s="72"/>
    </row>
    <row r="40" spans="4:5">
      <c r="E40" s="72"/>
    </row>
    <row r="41" spans="4:5">
      <c r="E41" s="72"/>
    </row>
    <row r="42" spans="4:5">
      <c r="E42" s="72"/>
    </row>
    <row r="43" spans="4:5">
      <c r="E43" s="72"/>
    </row>
    <row r="44" spans="4:5">
      <c r="E44" s="72"/>
    </row>
    <row r="45" spans="4:5">
      <c r="D45" s="72"/>
      <c r="E45" s="72"/>
    </row>
    <row r="46" spans="4:5">
      <c r="E46" s="72"/>
    </row>
    <row r="48" spans="4:5">
      <c r="E48" s="72"/>
    </row>
    <row r="49" spans="5:5">
      <c r="E49" s="7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81"/>
  <sheetViews>
    <sheetView zoomScale="80" zoomScaleNormal="80" workbookViewId="0">
      <selection activeCell="L31" sqref="L3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103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5353523.03</v>
      </c>
      <c r="E11" s="258">
        <f>E12+E13+E14</f>
        <v>2754905.09</v>
      </c>
    </row>
    <row r="12" spans="2:7">
      <c r="B12" s="107" t="s">
        <v>4</v>
      </c>
      <c r="C12" s="6" t="s">
        <v>5</v>
      </c>
      <c r="D12" s="261">
        <v>5258414.1100000003</v>
      </c>
      <c r="E12" s="262">
        <v>2754905.09</v>
      </c>
    </row>
    <row r="13" spans="2:7">
      <c r="B13" s="107" t="s">
        <v>6</v>
      </c>
      <c r="C13" s="69" t="s">
        <v>7</v>
      </c>
      <c r="D13" s="261">
        <v>2.4900000000000002</v>
      </c>
      <c r="E13" s="262"/>
    </row>
    <row r="14" spans="2:7">
      <c r="B14" s="107" t="s">
        <v>8</v>
      </c>
      <c r="C14" s="69" t="s">
        <v>10</v>
      </c>
      <c r="D14" s="261">
        <v>95106.43</v>
      </c>
      <c r="E14" s="262"/>
    </row>
    <row r="15" spans="2:7">
      <c r="B15" s="107" t="s">
        <v>182</v>
      </c>
      <c r="C15" s="69" t="s">
        <v>11</v>
      </c>
      <c r="D15" s="261">
        <v>95106.43</v>
      </c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509.53</v>
      </c>
      <c r="E17" s="266">
        <f>E18</f>
        <v>8296.7000000000007</v>
      </c>
    </row>
    <row r="18" spans="2:6">
      <c r="B18" s="107" t="s">
        <v>4</v>
      </c>
      <c r="C18" s="6" t="s">
        <v>11</v>
      </c>
      <c r="D18" s="261">
        <v>509.53</v>
      </c>
      <c r="E18" s="306">
        <v>8296.7000000000007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5353013.5</v>
      </c>
      <c r="E21" s="149">
        <f>E11-E17</f>
        <v>2746608.3899999997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318">
        <v>5356721.9400000004</v>
      </c>
      <c r="E26" s="232">
        <f>D21</f>
        <v>5353013.5</v>
      </c>
    </row>
    <row r="27" spans="2:6">
      <c r="B27" s="9" t="s">
        <v>17</v>
      </c>
      <c r="C27" s="10" t="s">
        <v>187</v>
      </c>
      <c r="D27" s="319">
        <v>-956381.56999999983</v>
      </c>
      <c r="E27" s="225">
        <f>E28-E32</f>
        <v>-1779526.6899999995</v>
      </c>
      <c r="F27" s="72"/>
    </row>
    <row r="28" spans="2:6">
      <c r="B28" s="9" t="s">
        <v>18</v>
      </c>
      <c r="C28" s="10" t="s">
        <v>19</v>
      </c>
      <c r="D28" s="319">
        <v>2197337.4</v>
      </c>
      <c r="E28" s="226">
        <v>653218.87</v>
      </c>
      <c r="F28" s="72"/>
    </row>
    <row r="29" spans="2:6">
      <c r="B29" s="105" t="s">
        <v>4</v>
      </c>
      <c r="C29" s="6" t="s">
        <v>20</v>
      </c>
      <c r="D29" s="320">
        <v>50472.51</v>
      </c>
      <c r="E29" s="227"/>
      <c r="F29" s="72"/>
    </row>
    <row r="30" spans="2:6">
      <c r="B30" s="105" t="s">
        <v>6</v>
      </c>
      <c r="C30" s="6" t="s">
        <v>21</v>
      </c>
      <c r="D30" s="320"/>
      <c r="E30" s="227"/>
      <c r="F30" s="72"/>
    </row>
    <row r="31" spans="2:6">
      <c r="B31" s="105" t="s">
        <v>8</v>
      </c>
      <c r="C31" s="6" t="s">
        <v>22</v>
      </c>
      <c r="D31" s="320">
        <v>2146864.89</v>
      </c>
      <c r="E31" s="227">
        <v>653218.87</v>
      </c>
      <c r="F31" s="72"/>
    </row>
    <row r="32" spans="2:6">
      <c r="B32" s="93" t="s">
        <v>23</v>
      </c>
      <c r="C32" s="11" t="s">
        <v>24</v>
      </c>
      <c r="D32" s="319">
        <v>3153718.9699999997</v>
      </c>
      <c r="E32" s="226">
        <f>SUM(E33:E39)</f>
        <v>2432745.5599999996</v>
      </c>
      <c r="F32" s="72"/>
    </row>
    <row r="33" spans="2:6">
      <c r="B33" s="105" t="s">
        <v>4</v>
      </c>
      <c r="C33" s="6" t="s">
        <v>25</v>
      </c>
      <c r="D33" s="320">
        <v>1728654.74</v>
      </c>
      <c r="E33" s="227">
        <v>1447631.97</v>
      </c>
      <c r="F33" s="72"/>
    </row>
    <row r="34" spans="2:6">
      <c r="B34" s="105" t="s">
        <v>6</v>
      </c>
      <c r="C34" s="6" t="s">
        <v>26</v>
      </c>
      <c r="D34" s="320"/>
      <c r="E34" s="227"/>
      <c r="F34" s="72"/>
    </row>
    <row r="35" spans="2:6">
      <c r="B35" s="105" t="s">
        <v>8</v>
      </c>
      <c r="C35" s="6" t="s">
        <v>27</v>
      </c>
      <c r="D35" s="320">
        <v>3269.21</v>
      </c>
      <c r="E35" s="227">
        <v>8113.66</v>
      </c>
      <c r="F35" s="72"/>
    </row>
    <row r="36" spans="2:6">
      <c r="B36" s="105" t="s">
        <v>9</v>
      </c>
      <c r="C36" s="6" t="s">
        <v>28</v>
      </c>
      <c r="D36" s="320"/>
      <c r="E36" s="227"/>
      <c r="F36" s="72"/>
    </row>
    <row r="37" spans="2:6" ht="25.5">
      <c r="B37" s="105" t="s">
        <v>29</v>
      </c>
      <c r="C37" s="6" t="s">
        <v>30</v>
      </c>
      <c r="D37" s="320">
        <v>111114.99</v>
      </c>
      <c r="E37" s="227">
        <v>85972.15</v>
      </c>
      <c r="F37" s="72"/>
    </row>
    <row r="38" spans="2:6">
      <c r="B38" s="105" t="s">
        <v>31</v>
      </c>
      <c r="C38" s="6" t="s">
        <v>32</v>
      </c>
      <c r="D38" s="320"/>
      <c r="E38" s="227"/>
      <c r="F38" s="72"/>
    </row>
    <row r="39" spans="2:6">
      <c r="B39" s="106" t="s">
        <v>33</v>
      </c>
      <c r="C39" s="12" t="s">
        <v>34</v>
      </c>
      <c r="D39" s="321">
        <v>1310680.03</v>
      </c>
      <c r="E39" s="228">
        <v>891027.78</v>
      </c>
      <c r="F39" s="72"/>
    </row>
    <row r="40" spans="2:6" ht="13.5" thickBot="1">
      <c r="B40" s="98" t="s">
        <v>35</v>
      </c>
      <c r="C40" s="99" t="s">
        <v>36</v>
      </c>
      <c r="D40" s="322">
        <v>952673.13</v>
      </c>
      <c r="E40" s="233">
        <v>-826878.42</v>
      </c>
    </row>
    <row r="41" spans="2:6" ht="13.5" thickBot="1">
      <c r="B41" s="100" t="s">
        <v>37</v>
      </c>
      <c r="C41" s="101" t="s">
        <v>38</v>
      </c>
      <c r="D41" s="269">
        <v>5353013.5000000009</v>
      </c>
      <c r="E41" s="149">
        <f>E26+E27+E40</f>
        <v>2746608.3900000006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87">
        <v>49443.5749</v>
      </c>
      <c r="E47" s="74">
        <v>41791.439200000001</v>
      </c>
    </row>
    <row r="48" spans="2:6">
      <c r="B48" s="124" t="s">
        <v>6</v>
      </c>
      <c r="C48" s="22" t="s">
        <v>41</v>
      </c>
      <c r="D48" s="290">
        <v>41791.439200000001</v>
      </c>
      <c r="E48" s="302">
        <v>26010.744999999999</v>
      </c>
    </row>
    <row r="49" spans="2:5">
      <c r="B49" s="121" t="s">
        <v>23</v>
      </c>
      <c r="C49" s="125" t="s">
        <v>189</v>
      </c>
      <c r="D49" s="289"/>
      <c r="E49" s="126"/>
    </row>
    <row r="50" spans="2:5">
      <c r="B50" s="103" t="s">
        <v>4</v>
      </c>
      <c r="C50" s="15" t="s">
        <v>40</v>
      </c>
      <c r="D50" s="323">
        <v>108.340101840006</v>
      </c>
      <c r="E50" s="74">
        <v>128.088756991168</v>
      </c>
    </row>
    <row r="51" spans="2:5">
      <c r="B51" s="103" t="s">
        <v>6</v>
      </c>
      <c r="C51" s="15" t="s">
        <v>190</v>
      </c>
      <c r="D51" s="324">
        <v>108.34010000000001</v>
      </c>
      <c r="E51" s="235">
        <v>104.69580000000001</v>
      </c>
    </row>
    <row r="52" spans="2:5">
      <c r="B52" s="103" t="s">
        <v>8</v>
      </c>
      <c r="C52" s="15" t="s">
        <v>191</v>
      </c>
      <c r="D52" s="324">
        <v>128.08879999999999</v>
      </c>
      <c r="E52" s="235">
        <v>134.35290000000001</v>
      </c>
    </row>
    <row r="53" spans="2:5" ht="12.75" customHeight="1" thickBot="1">
      <c r="B53" s="104" t="s">
        <v>9</v>
      </c>
      <c r="C53" s="17" t="s">
        <v>41</v>
      </c>
      <c r="D53" s="210">
        <v>128.088756991168</v>
      </c>
      <c r="E53" s="234">
        <v>105.595145006419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2754905.09</v>
      </c>
      <c r="E58" s="32">
        <f>D58/E21</f>
        <v>1.0030207072949342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5.5">
      <c r="B60" s="14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v>2520706.59</v>
      </c>
      <c r="E64" s="82">
        <f>D64/E21</f>
        <v>0.91775245396377758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234198.5</v>
      </c>
      <c r="E69" s="80">
        <f>D69/E21</f>
        <v>8.5268253331156549E-2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f>D71/E21</f>
        <v>0</v>
      </c>
    </row>
    <row r="72" spans="2:5">
      <c r="B72" s="117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23" t="s">
        <v>62</v>
      </c>
      <c r="C73" s="24" t="s">
        <v>65</v>
      </c>
      <c r="D73" s="25">
        <f>E17</f>
        <v>8296.7000000000007</v>
      </c>
      <c r="E73" s="26">
        <f>D73/E21</f>
        <v>3.0207072949340265E-3</v>
      </c>
    </row>
    <row r="74" spans="2:5">
      <c r="B74" s="121" t="s">
        <v>64</v>
      </c>
      <c r="C74" s="122" t="s">
        <v>66</v>
      </c>
      <c r="D74" s="123">
        <f>D58-D73+D71+D72</f>
        <v>2746608.3899999997</v>
      </c>
      <c r="E74" s="67">
        <f>E58+E72-E73</f>
        <v>1.0000000000000002</v>
      </c>
    </row>
    <row r="75" spans="2:5">
      <c r="B75" s="14" t="s">
        <v>4</v>
      </c>
      <c r="C75" s="15" t="s">
        <v>67</v>
      </c>
      <c r="D75" s="79">
        <f>D74</f>
        <v>2746608.3899999997</v>
      </c>
      <c r="E75" s="80">
        <f>D75/E21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f>D76/E21</f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 customHeight="1">
      <c r="B6" s="356" t="s">
        <v>104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20480381.490000002</v>
      </c>
      <c r="E11" s="258">
        <f>E12+E13+E14</f>
        <v>12920896.110000001</v>
      </c>
    </row>
    <row r="12" spans="2:7">
      <c r="B12" s="107" t="s">
        <v>4</v>
      </c>
      <c r="C12" s="6" t="s">
        <v>5</v>
      </c>
      <c r="D12" s="261">
        <v>20480381.490000002</v>
      </c>
      <c r="E12" s="262">
        <v>12170896.110000001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>
        <f>E15</f>
        <v>750000</v>
      </c>
    </row>
    <row r="15" spans="2:7">
      <c r="B15" s="107" t="s">
        <v>182</v>
      </c>
      <c r="C15" s="69" t="s">
        <v>11</v>
      </c>
      <c r="D15" s="261"/>
      <c r="E15" s="262">
        <v>750000</v>
      </c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1702.44</v>
      </c>
      <c r="E17" s="266">
        <f>E18</f>
        <v>732400.8</v>
      </c>
    </row>
    <row r="18" spans="2:6">
      <c r="B18" s="107" t="s">
        <v>4</v>
      </c>
      <c r="C18" s="6" t="s">
        <v>11</v>
      </c>
      <c r="D18" s="261">
        <v>1702.44</v>
      </c>
      <c r="E18" s="299">
        <v>732400.8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20478679.050000001</v>
      </c>
      <c r="E21" s="149">
        <f>E11-E17</f>
        <v>12188495.310000001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23250929.969999999</v>
      </c>
      <c r="E26" s="232">
        <f>D21</f>
        <v>20478679.050000001</v>
      </c>
    </row>
    <row r="27" spans="2:6">
      <c r="B27" s="9" t="s">
        <v>17</v>
      </c>
      <c r="C27" s="10" t="s">
        <v>187</v>
      </c>
      <c r="D27" s="201">
        <v>-3678867.6</v>
      </c>
      <c r="E27" s="225">
        <f>E28-E32</f>
        <v>-7673347.4399999995</v>
      </c>
      <c r="F27" s="72"/>
    </row>
    <row r="28" spans="2:6">
      <c r="B28" s="9" t="s">
        <v>18</v>
      </c>
      <c r="C28" s="10" t="s">
        <v>19</v>
      </c>
      <c r="D28" s="201">
        <v>2775663.89</v>
      </c>
      <c r="E28" s="226">
        <f>E31</f>
        <v>160838.16</v>
      </c>
      <c r="F28" s="72"/>
    </row>
    <row r="29" spans="2:6">
      <c r="B29" s="105" t="s">
        <v>4</v>
      </c>
      <c r="C29" s="6" t="s">
        <v>20</v>
      </c>
      <c r="D29" s="202">
        <v>0</v>
      </c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2775663.89</v>
      </c>
      <c r="E31" s="227">
        <v>160838.16</v>
      </c>
      <c r="F31" s="72"/>
    </row>
    <row r="32" spans="2:6">
      <c r="B32" s="93" t="s">
        <v>23</v>
      </c>
      <c r="C32" s="11" t="s">
        <v>24</v>
      </c>
      <c r="D32" s="201">
        <v>6454531.4900000002</v>
      </c>
      <c r="E32" s="226">
        <f>SUM(E33:E39)</f>
        <v>7834185.5999999996</v>
      </c>
      <c r="F32" s="72"/>
    </row>
    <row r="33" spans="2:6">
      <c r="B33" s="105" t="s">
        <v>4</v>
      </c>
      <c r="C33" s="6" t="s">
        <v>25</v>
      </c>
      <c r="D33" s="202">
        <v>4815233.25</v>
      </c>
      <c r="E33" s="227">
        <f>7193371.86-5149.7</f>
        <v>7188222.1600000001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18026.54</v>
      </c>
      <c r="E35" s="227">
        <v>23852.41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410019.94</v>
      </c>
      <c r="E37" s="227">
        <v>317277.06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1211251.76</v>
      </c>
      <c r="E39" s="228">
        <v>304833.96999999997</v>
      </c>
      <c r="F39" s="72"/>
    </row>
    <row r="40" spans="2:6" ht="13.5" thickBot="1">
      <c r="B40" s="98" t="s">
        <v>35</v>
      </c>
      <c r="C40" s="99" t="s">
        <v>36</v>
      </c>
      <c r="D40" s="204">
        <v>906616.68</v>
      </c>
      <c r="E40" s="233">
        <v>-616836.30000000005</v>
      </c>
    </row>
    <row r="41" spans="2:6" ht="13.5" thickBot="1">
      <c r="B41" s="100" t="s">
        <v>37</v>
      </c>
      <c r="C41" s="101" t="s">
        <v>38</v>
      </c>
      <c r="D41" s="205">
        <v>20478679.049999997</v>
      </c>
      <c r="E41" s="149">
        <f>E26+E27+E40</f>
        <v>12188495.310000001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217378.77299999999</v>
      </c>
      <c r="E47" s="74">
        <v>183746.82709999999</v>
      </c>
    </row>
    <row r="48" spans="2:6">
      <c r="B48" s="124" t="s">
        <v>6</v>
      </c>
      <c r="C48" s="22" t="s">
        <v>41</v>
      </c>
      <c r="D48" s="207">
        <v>183746.82709999999</v>
      </c>
      <c r="E48" s="302">
        <v>113533.9915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106.960443511197</v>
      </c>
      <c r="E50" s="74">
        <v>111.45051791253</v>
      </c>
    </row>
    <row r="51" spans="2:5">
      <c r="B51" s="103" t="s">
        <v>6</v>
      </c>
      <c r="C51" s="15" t="s">
        <v>190</v>
      </c>
      <c r="D51" s="294">
        <v>106.96040000000001</v>
      </c>
      <c r="E51" s="235">
        <v>107.1322</v>
      </c>
    </row>
    <row r="52" spans="2:5">
      <c r="B52" s="103" t="s">
        <v>8</v>
      </c>
      <c r="C52" s="15" t="s">
        <v>191</v>
      </c>
      <c r="D52" s="206">
        <v>111.54</v>
      </c>
      <c r="E52" s="235">
        <v>112.292</v>
      </c>
    </row>
    <row r="53" spans="2:5" ht="13.5" customHeight="1" thickBot="1">
      <c r="B53" s="104" t="s">
        <v>9</v>
      </c>
      <c r="C53" s="17" t="s">
        <v>41</v>
      </c>
      <c r="D53" s="210">
        <v>111.45051791253</v>
      </c>
      <c r="E53" s="234">
        <v>107.355472567878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12170896.110000001</v>
      </c>
      <c r="E58" s="32">
        <f>D58/E21</f>
        <v>0.99855608099667892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298">
        <v>12139520.880000001</v>
      </c>
      <c r="E64" s="82">
        <f>D64/E21</f>
        <v>0.99598191337368613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25">
        <v>31375.23</v>
      </c>
      <c r="E69" s="80">
        <f>D69/E21</f>
        <v>2.5741676229926692E-3</v>
      </c>
    </row>
    <row r="70" spans="2:5">
      <c r="B70" s="130" t="s">
        <v>58</v>
      </c>
      <c r="C70" s="114" t="s">
        <v>59</v>
      </c>
      <c r="D70" s="311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750000</v>
      </c>
      <c r="E72" s="120">
        <f>D72/E21</f>
        <v>6.153343632045094E-2</v>
      </c>
    </row>
    <row r="73" spans="2:5">
      <c r="B73" s="133" t="s">
        <v>62</v>
      </c>
      <c r="C73" s="24" t="s">
        <v>65</v>
      </c>
      <c r="D73" s="25">
        <f>E17</f>
        <v>732400.8</v>
      </c>
      <c r="E73" s="26">
        <f>D73/E21</f>
        <v>6.0089517317129776E-2</v>
      </c>
    </row>
    <row r="74" spans="2:5">
      <c r="B74" s="131" t="s">
        <v>64</v>
      </c>
      <c r="C74" s="122" t="s">
        <v>66</v>
      </c>
      <c r="D74" s="123">
        <f>D58-D73+D71+D72</f>
        <v>12188495.310000001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12188495.310000001</v>
      </c>
      <c r="E75" s="80">
        <f>D75/E21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f>D76/E21</f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8.7109375" customWidth="1"/>
    <col min="8" max="8" width="15.28515625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14.25">
      <c r="B5" s="355" t="s">
        <v>1</v>
      </c>
      <c r="C5" s="355"/>
      <c r="D5" s="355"/>
      <c r="E5" s="355"/>
    </row>
    <row r="6" spans="2:8" ht="14.25">
      <c r="B6" s="356" t="s">
        <v>85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93" t="s">
        <v>185</v>
      </c>
      <c r="D11" s="257">
        <f>D12+D13+D14</f>
        <v>185969204.19</v>
      </c>
      <c r="E11" s="258">
        <f>E12+E13+E14</f>
        <v>167229127.84</v>
      </c>
    </row>
    <row r="12" spans="2:8">
      <c r="B12" s="107" t="s">
        <v>4</v>
      </c>
      <c r="C12" s="194" t="s">
        <v>5</v>
      </c>
      <c r="D12" s="261">
        <f>191428394.71-6004259.19</f>
        <v>185424135.52000001</v>
      </c>
      <c r="E12" s="262">
        <f>173282091.29-6836541.88</f>
        <v>166445549.41</v>
      </c>
    </row>
    <row r="13" spans="2:8">
      <c r="B13" s="107" t="s">
        <v>6</v>
      </c>
      <c r="C13" s="194" t="s">
        <v>7</v>
      </c>
      <c r="D13" s="261"/>
      <c r="E13" s="262"/>
    </row>
    <row r="14" spans="2:8">
      <c r="B14" s="107" t="s">
        <v>8</v>
      </c>
      <c r="C14" s="194" t="s">
        <v>10</v>
      </c>
      <c r="D14" s="261">
        <f>D15</f>
        <v>545068.66999999993</v>
      </c>
      <c r="E14" s="262">
        <f>E15</f>
        <v>783578.42999999993</v>
      </c>
    </row>
    <row r="15" spans="2:8">
      <c r="B15" s="107" t="s">
        <v>182</v>
      </c>
      <c r="C15" s="194" t="s">
        <v>11</v>
      </c>
      <c r="D15" s="261">
        <v>545068.66999999993</v>
      </c>
      <c r="E15" s="262">
        <v>783578.42999999993</v>
      </c>
    </row>
    <row r="16" spans="2:8">
      <c r="B16" s="108" t="s">
        <v>183</v>
      </c>
      <c r="C16" s="195" t="s">
        <v>12</v>
      </c>
      <c r="D16" s="263"/>
      <c r="E16" s="264"/>
    </row>
    <row r="17" spans="2:7">
      <c r="B17" s="9" t="s">
        <v>13</v>
      </c>
      <c r="C17" s="196" t="s">
        <v>65</v>
      </c>
      <c r="D17" s="265">
        <f>SUM(D18:D19)</f>
        <v>447947.93</v>
      </c>
      <c r="E17" s="266">
        <f>SUM(E18:E19)</f>
        <v>249581.26</v>
      </c>
    </row>
    <row r="18" spans="2:7">
      <c r="B18" s="107" t="s">
        <v>4</v>
      </c>
      <c r="C18" s="194" t="s">
        <v>11</v>
      </c>
      <c r="D18" s="263">
        <v>447947.93</v>
      </c>
      <c r="E18" s="264">
        <v>249581.26</v>
      </c>
    </row>
    <row r="19" spans="2:7" ht="15" customHeight="1">
      <c r="B19" s="107" t="s">
        <v>6</v>
      </c>
      <c r="C19" s="194" t="s">
        <v>184</v>
      </c>
      <c r="D19" s="261"/>
      <c r="E19" s="262"/>
    </row>
    <row r="20" spans="2:7" ht="13.5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86">
        <f>D11-D17</f>
        <v>185521256.25999999</v>
      </c>
      <c r="E21" s="229">
        <f>E11-E17</f>
        <v>166979546.58000001</v>
      </c>
      <c r="F21" s="78"/>
      <c r="G21" s="163"/>
    </row>
    <row r="22" spans="2:7">
      <c r="B22" s="3"/>
      <c r="C22" s="7"/>
      <c r="D22" s="8"/>
      <c r="E22" s="8"/>
    </row>
    <row r="23" spans="2:7" ht="13.5">
      <c r="B23" s="358" t="s">
        <v>180</v>
      </c>
      <c r="C23" s="366"/>
      <c r="D23" s="366"/>
      <c r="E23" s="366"/>
    </row>
    <row r="24" spans="2:7" ht="15.75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178474257.16999999</v>
      </c>
      <c r="E26" s="232">
        <f>D21</f>
        <v>185521256.25999999</v>
      </c>
    </row>
    <row r="27" spans="2:7">
      <c r="B27" s="9" t="s">
        <v>17</v>
      </c>
      <c r="C27" s="10" t="s">
        <v>187</v>
      </c>
      <c r="D27" s="201">
        <v>-4927640.629999999</v>
      </c>
      <c r="E27" s="225">
        <f>E28-E32</f>
        <v>-5283658.84</v>
      </c>
      <c r="F27" s="72"/>
    </row>
    <row r="28" spans="2:7">
      <c r="B28" s="9" t="s">
        <v>18</v>
      </c>
      <c r="C28" s="10" t="s">
        <v>19</v>
      </c>
      <c r="D28" s="201">
        <v>25046204.100000001</v>
      </c>
      <c r="E28" s="226">
        <v>22567926.600000001</v>
      </c>
      <c r="F28" s="72"/>
    </row>
    <row r="29" spans="2:7">
      <c r="B29" s="105" t="s">
        <v>4</v>
      </c>
      <c r="C29" s="6" t="s">
        <v>20</v>
      </c>
      <c r="D29" s="202">
        <v>23824302.510000002</v>
      </c>
      <c r="E29" s="227">
        <v>21409337.189999998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1221901.5900000001</v>
      </c>
      <c r="E31" s="227">
        <v>1158589.4100000001</v>
      </c>
      <c r="F31" s="72"/>
    </row>
    <row r="32" spans="2:7">
      <c r="B32" s="93" t="s">
        <v>23</v>
      </c>
      <c r="C32" s="11" t="s">
        <v>24</v>
      </c>
      <c r="D32" s="201">
        <v>29973844.73</v>
      </c>
      <c r="E32" s="226">
        <f>SUM(E33:E39)</f>
        <v>27851585.440000001</v>
      </c>
      <c r="F32" s="72"/>
    </row>
    <row r="33" spans="2:6">
      <c r="B33" s="105" t="s">
        <v>4</v>
      </c>
      <c r="C33" s="6" t="s">
        <v>25</v>
      </c>
      <c r="D33" s="202">
        <v>24683088.990000002</v>
      </c>
      <c r="E33" s="227">
        <f>21690576+832282.69</f>
        <v>22522858.690000001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4018734.27</v>
      </c>
      <c r="E35" s="227">
        <v>3909750.6999999997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1272021.47</v>
      </c>
      <c r="E39" s="228">
        <v>1418976.05</v>
      </c>
      <c r="F39" s="72"/>
    </row>
    <row r="40" spans="2:6" ht="13.5" thickBot="1">
      <c r="B40" s="98" t="s">
        <v>35</v>
      </c>
      <c r="C40" s="99" t="s">
        <v>36</v>
      </c>
      <c r="D40" s="204">
        <v>11974639.720000001</v>
      </c>
      <c r="E40" s="233">
        <v>-13258050.84</v>
      </c>
    </row>
    <row r="41" spans="2:6" ht="13.5" thickBot="1">
      <c r="B41" s="100" t="s">
        <v>37</v>
      </c>
      <c r="C41" s="101" t="s">
        <v>38</v>
      </c>
      <c r="D41" s="205">
        <v>185521256.25999999</v>
      </c>
      <c r="E41" s="149">
        <f>E26+E27+E40</f>
        <v>166979546.57999998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5.7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218"/>
      <c r="E46" s="28"/>
    </row>
    <row r="47" spans="2:6">
      <c r="B47" s="103" t="s">
        <v>4</v>
      </c>
      <c r="C47" s="15" t="s">
        <v>40</v>
      </c>
      <c r="D47" s="287">
        <v>9503363.3462617602</v>
      </c>
      <c r="E47" s="288">
        <v>9269398.1071000006</v>
      </c>
    </row>
    <row r="48" spans="2:6">
      <c r="B48" s="124" t="s">
        <v>6</v>
      </c>
      <c r="C48" s="22" t="s">
        <v>41</v>
      </c>
      <c r="D48" s="287">
        <v>9269398.1071000006</v>
      </c>
      <c r="E48" s="291">
        <v>8972178.9675999992</v>
      </c>
    </row>
    <row r="49" spans="2:5">
      <c r="B49" s="121" t="s">
        <v>23</v>
      </c>
      <c r="C49" s="125" t="s">
        <v>189</v>
      </c>
      <c r="D49" s="289"/>
      <c r="E49" s="212"/>
    </row>
    <row r="50" spans="2:5">
      <c r="B50" s="103" t="s">
        <v>4</v>
      </c>
      <c r="C50" s="15" t="s">
        <v>40</v>
      </c>
      <c r="D50" s="287">
        <v>18.780115067388699</v>
      </c>
      <c r="E50" s="288">
        <v>20.014380018663999</v>
      </c>
    </row>
    <row r="51" spans="2:5">
      <c r="B51" s="103" t="s">
        <v>6</v>
      </c>
      <c r="C51" s="15" t="s">
        <v>190</v>
      </c>
      <c r="D51" s="290">
        <v>18.780100000000001</v>
      </c>
      <c r="E51" s="236">
        <v>18.4039</v>
      </c>
    </row>
    <row r="52" spans="2:5">
      <c r="B52" s="103" t="s">
        <v>8</v>
      </c>
      <c r="C52" s="15" t="s">
        <v>191</v>
      </c>
      <c r="D52" s="290">
        <v>20.061800000000002</v>
      </c>
      <c r="E52" s="236">
        <v>20.590399999999999</v>
      </c>
    </row>
    <row r="53" spans="2:5" ht="13.5" thickBot="1">
      <c r="B53" s="104" t="s">
        <v>9</v>
      </c>
      <c r="C53" s="17" t="s">
        <v>41</v>
      </c>
      <c r="D53" s="210">
        <v>20.014380018663999</v>
      </c>
      <c r="E53" s="234">
        <v>18.610813179687199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166445549.41</v>
      </c>
      <c r="E58" s="32">
        <f>D58/E21</f>
        <v>0.99680202048132771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5.5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81">
        <f>173060176.97-6836541.88</f>
        <v>166223635.09</v>
      </c>
      <c r="E64" s="82">
        <f>D64/E21</f>
        <v>0.99547302944892202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11">
        <v>221914.32</v>
      </c>
      <c r="E69" s="80">
        <f>D69/E21</f>
        <v>1.3289910324057607E-3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783578.42999999993</v>
      </c>
      <c r="E72" s="120">
        <f>D72/E21</f>
        <v>4.6926611435286593E-3</v>
      </c>
    </row>
    <row r="73" spans="2:5">
      <c r="B73" s="23" t="s">
        <v>62</v>
      </c>
      <c r="C73" s="24" t="s">
        <v>65</v>
      </c>
      <c r="D73" s="25">
        <f>E17</f>
        <v>249581.26</v>
      </c>
      <c r="E73" s="26">
        <f>D73/E21</f>
        <v>1.4946816248565238E-3</v>
      </c>
    </row>
    <row r="74" spans="2:5">
      <c r="B74" s="121" t="s">
        <v>64</v>
      </c>
      <c r="C74" s="122" t="s">
        <v>66</v>
      </c>
      <c r="D74" s="123">
        <f>D58+D71+D72-D73</f>
        <v>166979546.58000001</v>
      </c>
      <c r="E74" s="67">
        <f>E58+E72-E73</f>
        <v>0.99999999999999989</v>
      </c>
    </row>
    <row r="75" spans="2:5">
      <c r="B75" s="14" t="s">
        <v>4</v>
      </c>
      <c r="C75" s="15" t="s">
        <v>67</v>
      </c>
      <c r="D75" s="79">
        <f>D74</f>
        <v>166979546.58000001</v>
      </c>
      <c r="E75" s="80">
        <f>E74</f>
        <v>0.99999999999999989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G81"/>
  <sheetViews>
    <sheetView zoomScale="80" zoomScaleNormal="80" workbookViewId="0">
      <selection activeCell="N33" sqref="N3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148"/>
      <c r="C4" s="148"/>
      <c r="D4" s="148"/>
      <c r="E4" s="148"/>
    </row>
    <row r="5" spans="2:7" ht="14.25">
      <c r="B5" s="355" t="s">
        <v>1</v>
      </c>
      <c r="C5" s="355"/>
      <c r="D5" s="355"/>
      <c r="E5" s="355"/>
    </row>
    <row r="6" spans="2:7" ht="14.25">
      <c r="B6" s="356" t="s">
        <v>213</v>
      </c>
      <c r="C6" s="356"/>
      <c r="D6" s="356"/>
      <c r="E6" s="356"/>
    </row>
    <row r="7" spans="2:7" ht="14.25">
      <c r="B7" s="151"/>
      <c r="C7" s="151"/>
      <c r="D7" s="151"/>
      <c r="E7" s="151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152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203194.14</v>
      </c>
      <c r="E11" s="258">
        <f>E12</f>
        <v>191426.72</v>
      </c>
    </row>
    <row r="12" spans="2:7">
      <c r="B12" s="107" t="s">
        <v>4</v>
      </c>
      <c r="C12" s="6" t="s">
        <v>5</v>
      </c>
      <c r="D12" s="261">
        <v>203194.14</v>
      </c>
      <c r="E12" s="262">
        <v>191426.72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203194.14</v>
      </c>
      <c r="E21" s="149">
        <f>E11-E17</f>
        <v>191426.72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52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117389.89</v>
      </c>
      <c r="E26" s="232">
        <f>D21</f>
        <v>203194.14</v>
      </c>
    </row>
    <row r="27" spans="2:6">
      <c r="B27" s="9" t="s">
        <v>17</v>
      </c>
      <c r="C27" s="10" t="s">
        <v>187</v>
      </c>
      <c r="D27" s="201">
        <v>80755.66</v>
      </c>
      <c r="E27" s="225">
        <f>E28-E32</f>
        <v>-12245.7</v>
      </c>
      <c r="F27" s="72"/>
    </row>
    <row r="28" spans="2:6">
      <c r="B28" s="9" t="s">
        <v>18</v>
      </c>
      <c r="C28" s="10" t="s">
        <v>19</v>
      </c>
      <c r="D28" s="201">
        <v>84607.31</v>
      </c>
      <c r="E28" s="226"/>
      <c r="F28" s="72"/>
    </row>
    <row r="29" spans="2:6">
      <c r="B29" s="105" t="s">
        <v>4</v>
      </c>
      <c r="C29" s="6" t="s">
        <v>20</v>
      </c>
      <c r="D29" s="202">
        <v>78400</v>
      </c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6207.31</v>
      </c>
      <c r="E31" s="227"/>
      <c r="F31" s="72"/>
    </row>
    <row r="32" spans="2:6">
      <c r="B32" s="93" t="s">
        <v>23</v>
      </c>
      <c r="C32" s="11" t="s">
        <v>24</v>
      </c>
      <c r="D32" s="201">
        <v>3851.6500000000005</v>
      </c>
      <c r="E32" s="226">
        <f>E35+E37+E39</f>
        <v>12245.7</v>
      </c>
      <c r="F32" s="72"/>
    </row>
    <row r="33" spans="2:6">
      <c r="B33" s="105" t="s">
        <v>4</v>
      </c>
      <c r="C33" s="6" t="s">
        <v>25</v>
      </c>
      <c r="D33" s="202"/>
      <c r="E33" s="227"/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1243.8900000000001</v>
      </c>
      <c r="E35" s="227">
        <v>1431.25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2607.7600000000002</v>
      </c>
      <c r="E37" s="227">
        <v>3298.53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/>
      <c r="E39" s="228">
        <v>7515.92</v>
      </c>
      <c r="F39" s="72"/>
    </row>
    <row r="40" spans="2:6" ht="13.5" thickBot="1">
      <c r="B40" s="98" t="s">
        <v>35</v>
      </c>
      <c r="C40" s="99" t="s">
        <v>36</v>
      </c>
      <c r="D40" s="204">
        <v>5048.59</v>
      </c>
      <c r="E40" s="233">
        <v>478.28</v>
      </c>
    </row>
    <row r="41" spans="2:6" ht="13.5" thickBot="1">
      <c r="B41" s="100" t="s">
        <v>37</v>
      </c>
      <c r="C41" s="101" t="s">
        <v>38</v>
      </c>
      <c r="D41" s="205">
        <v>203194.13999999998</v>
      </c>
      <c r="E41" s="149">
        <f>E26+E27+E40</f>
        <v>191426.72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5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1138.769</v>
      </c>
      <c r="E47" s="74">
        <v>1922.2987000000001</v>
      </c>
    </row>
    <row r="48" spans="2:6">
      <c r="B48" s="124" t="s">
        <v>6</v>
      </c>
      <c r="C48" s="22" t="s">
        <v>41</v>
      </c>
      <c r="D48" s="207">
        <v>1922.2987000000001</v>
      </c>
      <c r="E48" s="302">
        <v>1806.508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103.08492533114701</v>
      </c>
      <c r="E50" s="74">
        <v>105.703729745689</v>
      </c>
    </row>
    <row r="51" spans="2:5">
      <c r="B51" s="103" t="s">
        <v>6</v>
      </c>
      <c r="C51" s="15" t="s">
        <v>190</v>
      </c>
      <c r="D51" s="294">
        <v>103.0506</v>
      </c>
      <c r="E51" s="235">
        <v>105.1914</v>
      </c>
    </row>
    <row r="52" spans="2:5">
      <c r="B52" s="103" t="s">
        <v>8</v>
      </c>
      <c r="C52" s="15" t="s">
        <v>191</v>
      </c>
      <c r="D52" s="294">
        <v>105.7225</v>
      </c>
      <c r="E52" s="235">
        <v>106.0478</v>
      </c>
    </row>
    <row r="53" spans="2:5" ht="13.5" thickBot="1">
      <c r="B53" s="104" t="s">
        <v>9</v>
      </c>
      <c r="C53" s="17" t="s">
        <v>41</v>
      </c>
      <c r="D53" s="210">
        <v>105.703729745689</v>
      </c>
      <c r="E53" s="234">
        <v>105.965055233633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191426.72</v>
      </c>
      <c r="E58" s="32">
        <f>D58/E21</f>
        <v>1</v>
      </c>
    </row>
    <row r="59" spans="2:5" ht="25.5">
      <c r="B59" s="124" t="s">
        <v>4</v>
      </c>
      <c r="C59" s="187" t="s">
        <v>44</v>
      </c>
      <c r="D59" s="81">
        <v>0</v>
      </c>
      <c r="E59" s="82">
        <v>0</v>
      </c>
    </row>
    <row r="60" spans="2:5" ht="25.5">
      <c r="B60" s="103" t="s">
        <v>6</v>
      </c>
      <c r="C60" s="185" t="s">
        <v>45</v>
      </c>
      <c r="D60" s="79">
        <v>0</v>
      </c>
      <c r="E60" s="80">
        <v>0</v>
      </c>
    </row>
    <row r="61" spans="2:5">
      <c r="B61" s="103" t="s">
        <v>8</v>
      </c>
      <c r="C61" s="185" t="s">
        <v>46</v>
      </c>
      <c r="D61" s="79">
        <v>0</v>
      </c>
      <c r="E61" s="80">
        <v>0</v>
      </c>
    </row>
    <row r="62" spans="2:5">
      <c r="B62" s="103" t="s">
        <v>9</v>
      </c>
      <c r="C62" s="185" t="s">
        <v>47</v>
      </c>
      <c r="D62" s="79">
        <v>0</v>
      </c>
      <c r="E62" s="80">
        <v>0</v>
      </c>
    </row>
    <row r="63" spans="2:5">
      <c r="B63" s="103" t="s">
        <v>29</v>
      </c>
      <c r="C63" s="185" t="s">
        <v>48</v>
      </c>
      <c r="D63" s="79">
        <v>0</v>
      </c>
      <c r="E63" s="80">
        <v>0</v>
      </c>
    </row>
    <row r="64" spans="2:5">
      <c r="B64" s="124" t="s">
        <v>31</v>
      </c>
      <c r="C64" s="187" t="s">
        <v>49</v>
      </c>
      <c r="D64" s="298">
        <v>185952.13</v>
      </c>
      <c r="E64" s="82">
        <f>D64/E21</f>
        <v>0.97140111892425474</v>
      </c>
    </row>
    <row r="65" spans="2:5">
      <c r="B65" s="124" t="s">
        <v>33</v>
      </c>
      <c r="C65" s="187" t="s">
        <v>194</v>
      </c>
      <c r="D65" s="81">
        <v>0</v>
      </c>
      <c r="E65" s="82">
        <v>0</v>
      </c>
    </row>
    <row r="66" spans="2:5">
      <c r="B66" s="124" t="s">
        <v>50</v>
      </c>
      <c r="C66" s="187" t="s">
        <v>51</v>
      </c>
      <c r="D66" s="81">
        <v>0</v>
      </c>
      <c r="E66" s="82">
        <v>0</v>
      </c>
    </row>
    <row r="67" spans="2:5">
      <c r="B67" s="103" t="s">
        <v>52</v>
      </c>
      <c r="C67" s="185" t="s">
        <v>53</v>
      </c>
      <c r="D67" s="79">
        <v>0</v>
      </c>
      <c r="E67" s="80">
        <v>0</v>
      </c>
    </row>
    <row r="68" spans="2:5">
      <c r="B68" s="103" t="s">
        <v>54</v>
      </c>
      <c r="C68" s="185" t="s">
        <v>55</v>
      </c>
      <c r="D68" s="79">
        <v>0</v>
      </c>
      <c r="E68" s="80">
        <v>0</v>
      </c>
    </row>
    <row r="69" spans="2:5">
      <c r="B69" s="103" t="s">
        <v>56</v>
      </c>
      <c r="C69" s="185" t="s">
        <v>57</v>
      </c>
      <c r="D69" s="325">
        <v>5474.59</v>
      </c>
      <c r="E69" s="80">
        <f>D69/E21</f>
        <v>2.859888107574533E-2</v>
      </c>
    </row>
    <row r="70" spans="2:5">
      <c r="B70" s="130" t="s">
        <v>58</v>
      </c>
      <c r="C70" s="239" t="s">
        <v>59</v>
      </c>
      <c r="D70" s="311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191426.72</v>
      </c>
      <c r="E74" s="67">
        <f>E58+E72-E73</f>
        <v>1</v>
      </c>
    </row>
    <row r="75" spans="2:5">
      <c r="B75" s="103" t="s">
        <v>4</v>
      </c>
      <c r="C75" s="185" t="s">
        <v>67</v>
      </c>
      <c r="D75" s="79">
        <f>D74</f>
        <v>191426.72</v>
      </c>
      <c r="E75" s="80">
        <f>E74</f>
        <v>1</v>
      </c>
    </row>
    <row r="76" spans="2:5">
      <c r="B76" s="103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148"/>
      <c r="C4" s="148"/>
      <c r="D4" s="148"/>
      <c r="E4" s="148"/>
    </row>
    <row r="5" spans="2:7" ht="14.25">
      <c r="B5" s="355" t="s">
        <v>1</v>
      </c>
      <c r="C5" s="355"/>
      <c r="D5" s="355"/>
      <c r="E5" s="355"/>
    </row>
    <row r="6" spans="2:7" ht="14.25">
      <c r="B6" s="356" t="s">
        <v>212</v>
      </c>
      <c r="C6" s="356"/>
      <c r="D6" s="356"/>
      <c r="E6" s="356"/>
    </row>
    <row r="7" spans="2:7" ht="14.25">
      <c r="B7" s="166"/>
      <c r="C7" s="166"/>
      <c r="D7" s="166"/>
      <c r="E7" s="166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167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93" t="s">
        <v>185</v>
      </c>
      <c r="D11" s="257">
        <v>17525.13</v>
      </c>
      <c r="E11" s="258">
        <f>E12</f>
        <v>14868.63</v>
      </c>
    </row>
    <row r="12" spans="2:7">
      <c r="B12" s="107" t="s">
        <v>4</v>
      </c>
      <c r="C12" s="194" t="s">
        <v>5</v>
      </c>
      <c r="D12" s="313">
        <v>17525.13</v>
      </c>
      <c r="E12" s="262">
        <v>14868.63</v>
      </c>
    </row>
    <row r="13" spans="2:7">
      <c r="B13" s="107" t="s">
        <v>6</v>
      </c>
      <c r="C13" s="194" t="s">
        <v>7</v>
      </c>
      <c r="D13" s="313"/>
      <c r="E13" s="262"/>
    </row>
    <row r="14" spans="2:7">
      <c r="B14" s="107" t="s">
        <v>8</v>
      </c>
      <c r="C14" s="194" t="s">
        <v>10</v>
      </c>
      <c r="D14" s="313"/>
      <c r="E14" s="262"/>
    </row>
    <row r="15" spans="2:7">
      <c r="B15" s="107" t="s">
        <v>182</v>
      </c>
      <c r="C15" s="194" t="s">
        <v>11</v>
      </c>
      <c r="D15" s="313"/>
      <c r="E15" s="262"/>
    </row>
    <row r="16" spans="2:7">
      <c r="B16" s="108" t="s">
        <v>183</v>
      </c>
      <c r="C16" s="195" t="s">
        <v>12</v>
      </c>
      <c r="D16" s="315"/>
      <c r="E16" s="264"/>
    </row>
    <row r="17" spans="2:6">
      <c r="B17" s="9" t="s">
        <v>13</v>
      </c>
      <c r="C17" s="196" t="s">
        <v>65</v>
      </c>
      <c r="D17" s="316"/>
      <c r="E17" s="266"/>
    </row>
    <row r="18" spans="2:6">
      <c r="B18" s="107" t="s">
        <v>4</v>
      </c>
      <c r="C18" s="194" t="s">
        <v>11</v>
      </c>
      <c r="D18" s="315"/>
      <c r="E18" s="264"/>
    </row>
    <row r="19" spans="2:6" ht="15" customHeight="1">
      <c r="B19" s="107" t="s">
        <v>6</v>
      </c>
      <c r="C19" s="194" t="s">
        <v>184</v>
      </c>
      <c r="D19" s="313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17525.13</v>
      </c>
      <c r="E21" s="149">
        <f>E11-E17</f>
        <v>14868.63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67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15929.85</v>
      </c>
      <c r="E26" s="232">
        <f>D21</f>
        <v>17525.13</v>
      </c>
    </row>
    <row r="27" spans="2:6">
      <c r="B27" s="9" t="s">
        <v>17</v>
      </c>
      <c r="C27" s="10" t="s">
        <v>187</v>
      </c>
      <c r="D27" s="201">
        <v>1070.1500000000001</v>
      </c>
      <c r="E27" s="225">
        <f>E28-E32</f>
        <v>-1226.56</v>
      </c>
      <c r="F27" s="72"/>
    </row>
    <row r="28" spans="2:6">
      <c r="B28" s="9" t="s">
        <v>18</v>
      </c>
      <c r="C28" s="10" t="s">
        <v>19</v>
      </c>
      <c r="D28" s="201">
        <v>1407.74</v>
      </c>
      <c r="E28" s="226"/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1407.74</v>
      </c>
      <c r="E31" s="227"/>
      <c r="F31" s="72"/>
    </row>
    <row r="32" spans="2:6">
      <c r="B32" s="93" t="s">
        <v>23</v>
      </c>
      <c r="C32" s="11" t="s">
        <v>24</v>
      </c>
      <c r="D32" s="201">
        <v>337.59</v>
      </c>
      <c r="E32" s="226">
        <f>E35+E37+E39</f>
        <v>1226.56</v>
      </c>
      <c r="F32" s="72"/>
    </row>
    <row r="33" spans="2:6">
      <c r="B33" s="105" t="s">
        <v>4</v>
      </c>
      <c r="C33" s="6" t="s">
        <v>25</v>
      </c>
      <c r="D33" s="202"/>
      <c r="E33" s="227"/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61.69</v>
      </c>
      <c r="E35" s="227">
        <v>65.099999999999994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275.89999999999998</v>
      </c>
      <c r="E37" s="227">
        <v>274.60000000000002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/>
      <c r="E39" s="228">
        <v>886.86</v>
      </c>
      <c r="F39" s="72"/>
    </row>
    <row r="40" spans="2:6" ht="13.5" thickBot="1">
      <c r="B40" s="98" t="s">
        <v>35</v>
      </c>
      <c r="C40" s="99" t="s">
        <v>36</v>
      </c>
      <c r="D40" s="204">
        <v>525.13</v>
      </c>
      <c r="E40" s="233">
        <v>-1429.94</v>
      </c>
    </row>
    <row r="41" spans="2:6" ht="13.5" thickBot="1">
      <c r="B41" s="100" t="s">
        <v>37</v>
      </c>
      <c r="C41" s="101" t="s">
        <v>38</v>
      </c>
      <c r="D41" s="205">
        <v>17525.13</v>
      </c>
      <c r="E41" s="149">
        <f>E26+E27+E40</f>
        <v>14868.630000000001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6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150.87440000000001</v>
      </c>
      <c r="E47" s="74">
        <v>156.91540000000001</v>
      </c>
    </row>
    <row r="48" spans="2:6">
      <c r="B48" s="186" t="s">
        <v>6</v>
      </c>
      <c r="C48" s="187" t="s">
        <v>41</v>
      </c>
      <c r="D48" s="207">
        <v>156.91540000000001</v>
      </c>
      <c r="E48" s="302">
        <v>144.68700000000001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105.583488918906</v>
      </c>
      <c r="E50" s="74">
        <v>111.68519999999999</v>
      </c>
    </row>
    <row r="51" spans="2:5">
      <c r="B51" s="184" t="s">
        <v>6</v>
      </c>
      <c r="C51" s="185" t="s">
        <v>190</v>
      </c>
      <c r="D51" s="294">
        <v>105.5835</v>
      </c>
      <c r="E51" s="276">
        <v>102.1795</v>
      </c>
    </row>
    <row r="52" spans="2:5">
      <c r="B52" s="184" t="s">
        <v>8</v>
      </c>
      <c r="C52" s="185" t="s">
        <v>191</v>
      </c>
      <c r="D52" s="294">
        <v>111.7696</v>
      </c>
      <c r="E52" s="276">
        <v>114.0591</v>
      </c>
    </row>
    <row r="53" spans="2:5" ht="13.5" thickBot="1">
      <c r="B53" s="188" t="s">
        <v>9</v>
      </c>
      <c r="C53" s="189" t="s">
        <v>41</v>
      </c>
      <c r="D53" s="210">
        <v>111.685190868543</v>
      </c>
      <c r="E53" s="327">
        <v>102.764104584378</v>
      </c>
    </row>
    <row r="54" spans="2:5">
      <c r="B54" s="190"/>
      <c r="C54" s="191"/>
      <c r="D54" s="112"/>
      <c r="E54" s="112"/>
    </row>
    <row r="55" spans="2:5" ht="13.5">
      <c r="B55" s="359" t="s">
        <v>62</v>
      </c>
      <c r="C55" s="371"/>
      <c r="D55" s="371"/>
      <c r="E55" s="371"/>
    </row>
    <row r="56" spans="2:5" ht="14.25" thickBot="1">
      <c r="B56" s="357" t="s">
        <v>192</v>
      </c>
      <c r="C56" s="370"/>
      <c r="D56" s="370"/>
      <c r="E56" s="370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14868.63</v>
      </c>
      <c r="E58" s="32">
        <f>D58/E21</f>
        <v>1</v>
      </c>
    </row>
    <row r="59" spans="2:5" ht="25.5">
      <c r="B59" s="124" t="s">
        <v>4</v>
      </c>
      <c r="C59" s="187" t="s">
        <v>44</v>
      </c>
      <c r="D59" s="81">
        <v>0</v>
      </c>
      <c r="E59" s="82">
        <v>0</v>
      </c>
    </row>
    <row r="60" spans="2:5" ht="25.5">
      <c r="B60" s="103" t="s">
        <v>6</v>
      </c>
      <c r="C60" s="185" t="s">
        <v>45</v>
      </c>
      <c r="D60" s="79">
        <v>0</v>
      </c>
      <c r="E60" s="80">
        <v>0</v>
      </c>
    </row>
    <row r="61" spans="2:5">
      <c r="B61" s="103" t="s">
        <v>8</v>
      </c>
      <c r="C61" s="185" t="s">
        <v>46</v>
      </c>
      <c r="D61" s="79">
        <v>0</v>
      </c>
      <c r="E61" s="80">
        <v>0</v>
      </c>
    </row>
    <row r="62" spans="2:5">
      <c r="B62" s="103" t="s">
        <v>9</v>
      </c>
      <c r="C62" s="185" t="s">
        <v>47</v>
      </c>
      <c r="D62" s="79">
        <v>0</v>
      </c>
      <c r="E62" s="80">
        <v>0</v>
      </c>
    </row>
    <row r="63" spans="2:5">
      <c r="B63" s="103" t="s">
        <v>29</v>
      </c>
      <c r="C63" s="185" t="s">
        <v>48</v>
      </c>
      <c r="D63" s="79">
        <v>0</v>
      </c>
      <c r="E63" s="80">
        <v>0</v>
      </c>
    </row>
    <row r="64" spans="2:5">
      <c r="B64" s="124" t="s">
        <v>31</v>
      </c>
      <c r="C64" s="187" t="s">
        <v>49</v>
      </c>
      <c r="D64" s="298">
        <v>12918.72</v>
      </c>
      <c r="E64" s="82">
        <f>D64/E21</f>
        <v>0.86885745357844002</v>
      </c>
    </row>
    <row r="65" spans="2:5">
      <c r="B65" s="124" t="s">
        <v>33</v>
      </c>
      <c r="C65" s="187" t="s">
        <v>194</v>
      </c>
      <c r="D65" s="81">
        <v>0</v>
      </c>
      <c r="E65" s="82">
        <v>0</v>
      </c>
    </row>
    <row r="66" spans="2:5">
      <c r="B66" s="124" t="s">
        <v>50</v>
      </c>
      <c r="C66" s="187" t="s">
        <v>51</v>
      </c>
      <c r="D66" s="81">
        <v>0</v>
      </c>
      <c r="E66" s="82">
        <v>0</v>
      </c>
    </row>
    <row r="67" spans="2:5">
      <c r="B67" s="103" t="s">
        <v>52</v>
      </c>
      <c r="C67" s="185" t="s">
        <v>53</v>
      </c>
      <c r="D67" s="79">
        <v>0</v>
      </c>
      <c r="E67" s="80">
        <v>0</v>
      </c>
    </row>
    <row r="68" spans="2:5">
      <c r="B68" s="103" t="s">
        <v>54</v>
      </c>
      <c r="C68" s="185" t="s">
        <v>55</v>
      </c>
      <c r="D68" s="79">
        <v>0</v>
      </c>
      <c r="E68" s="80">
        <v>0</v>
      </c>
    </row>
    <row r="69" spans="2:5">
      <c r="B69" s="103" t="s">
        <v>56</v>
      </c>
      <c r="C69" s="185" t="s">
        <v>57</v>
      </c>
      <c r="D69" s="325">
        <v>1949.91</v>
      </c>
      <c r="E69" s="80">
        <f>D69/E21</f>
        <v>0.13114254642156004</v>
      </c>
    </row>
    <row r="70" spans="2:5">
      <c r="B70" s="13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14868.63</v>
      </c>
      <c r="E74" s="67">
        <f>E58+E72-E73</f>
        <v>1</v>
      </c>
    </row>
    <row r="75" spans="2:5">
      <c r="B75" s="103" t="s">
        <v>4</v>
      </c>
      <c r="C75" s="185" t="s">
        <v>67</v>
      </c>
      <c r="D75" s="79">
        <f>D74</f>
        <v>14868.63</v>
      </c>
      <c r="E75" s="80">
        <f>E74</f>
        <v>1</v>
      </c>
    </row>
    <row r="76" spans="2:5">
      <c r="B76" s="103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81"/>
  <sheetViews>
    <sheetView zoomScale="80" zoomScaleNormal="80" workbookViewId="0">
      <selection activeCell="Q48" sqref="Q4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68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19577244.849999998</v>
      </c>
      <c r="E11" s="258">
        <f>E12+E14</f>
        <v>18590730.200000003</v>
      </c>
    </row>
    <row r="12" spans="2:7">
      <c r="B12" s="107" t="s">
        <v>4</v>
      </c>
      <c r="C12" s="6" t="s">
        <v>5</v>
      </c>
      <c r="D12" s="261">
        <v>19576695.879999999</v>
      </c>
      <c r="E12" s="262">
        <f>18528317.64-8016.65</f>
        <v>18520300.990000002</v>
      </c>
    </row>
    <row r="13" spans="2:7">
      <c r="B13" s="107" t="s">
        <v>6</v>
      </c>
      <c r="C13" s="69" t="s">
        <v>7</v>
      </c>
      <c r="D13" s="261">
        <v>548.97</v>
      </c>
      <c r="E13" s="262"/>
    </row>
    <row r="14" spans="2:7">
      <c r="B14" s="107" t="s">
        <v>8</v>
      </c>
      <c r="C14" s="69" t="s">
        <v>10</v>
      </c>
      <c r="D14" s="261"/>
      <c r="E14" s="262">
        <f>E15</f>
        <v>70429.210000000006</v>
      </c>
    </row>
    <row r="15" spans="2:7">
      <c r="B15" s="107" t="s">
        <v>182</v>
      </c>
      <c r="C15" s="69" t="s">
        <v>11</v>
      </c>
      <c r="D15" s="261"/>
      <c r="E15" s="262">
        <v>70429.210000000006</v>
      </c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29728.59</v>
      </c>
      <c r="E17" s="266">
        <f>SUM(E18:E20)</f>
        <v>64954.33</v>
      </c>
    </row>
    <row r="18" spans="2:6">
      <c r="B18" s="107" t="s">
        <v>4</v>
      </c>
      <c r="C18" s="6" t="s">
        <v>11</v>
      </c>
      <c r="D18" s="261">
        <v>29728.59</v>
      </c>
      <c r="E18" s="264">
        <v>64954.33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19547516.259999998</v>
      </c>
      <c r="E21" s="149">
        <f>E11-E17</f>
        <v>18525775.870000005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21774116.010000002</v>
      </c>
      <c r="E26" s="232">
        <f>D21</f>
        <v>19547516.259999998</v>
      </c>
    </row>
    <row r="27" spans="2:6">
      <c r="B27" s="9" t="s">
        <v>17</v>
      </c>
      <c r="C27" s="10" t="s">
        <v>187</v>
      </c>
      <c r="D27" s="201">
        <v>-2711439.3699999996</v>
      </c>
      <c r="E27" s="225">
        <f>E28-E32</f>
        <v>-1108437.6399999997</v>
      </c>
      <c r="F27" s="72"/>
    </row>
    <row r="28" spans="2:6">
      <c r="B28" s="9" t="s">
        <v>18</v>
      </c>
      <c r="C28" s="10" t="s">
        <v>19</v>
      </c>
      <c r="D28" s="201">
        <v>168283.08000000002</v>
      </c>
      <c r="E28" s="226">
        <v>745832.65</v>
      </c>
      <c r="F28" s="72"/>
    </row>
    <row r="29" spans="2:6">
      <c r="B29" s="105" t="s">
        <v>4</v>
      </c>
      <c r="C29" s="6" t="s">
        <v>20</v>
      </c>
      <c r="D29" s="202">
        <v>50078.64</v>
      </c>
      <c r="E29" s="227">
        <v>12575.74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118204.44</v>
      </c>
      <c r="E31" s="227">
        <v>733256.91</v>
      </c>
      <c r="F31" s="72"/>
    </row>
    <row r="32" spans="2:6">
      <c r="B32" s="93" t="s">
        <v>23</v>
      </c>
      <c r="C32" s="11" t="s">
        <v>24</v>
      </c>
      <c r="D32" s="201">
        <v>2879722.4499999997</v>
      </c>
      <c r="E32" s="226">
        <f>SUM(E33:E39)</f>
        <v>1854270.2899999998</v>
      </c>
      <c r="F32" s="72"/>
    </row>
    <row r="33" spans="2:6">
      <c r="B33" s="105" t="s">
        <v>4</v>
      </c>
      <c r="C33" s="6" t="s">
        <v>25</v>
      </c>
      <c r="D33" s="202">
        <v>2666362.8899999997</v>
      </c>
      <c r="E33" s="227">
        <f>1796980.15+8016.65</f>
        <v>1804996.7999999998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35537.339999999997</v>
      </c>
      <c r="E35" s="227">
        <v>36363.65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177822.22</v>
      </c>
      <c r="E39" s="228">
        <v>12909.84</v>
      </c>
      <c r="F39" s="72"/>
    </row>
    <row r="40" spans="2:6" ht="13.5" thickBot="1">
      <c r="B40" s="98" t="s">
        <v>35</v>
      </c>
      <c r="C40" s="99" t="s">
        <v>36</v>
      </c>
      <c r="D40" s="204">
        <v>484839.62</v>
      </c>
      <c r="E40" s="233">
        <v>86697.25</v>
      </c>
    </row>
    <row r="41" spans="2:6" ht="13.5" thickBot="1">
      <c r="B41" s="100" t="s">
        <v>37</v>
      </c>
      <c r="C41" s="101" t="s">
        <v>38</v>
      </c>
      <c r="D41" s="205">
        <v>19547516.260000002</v>
      </c>
      <c r="E41" s="149">
        <f>E26+E27+E40</f>
        <v>18525775.869999997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1719564.831</v>
      </c>
      <c r="E47" s="74">
        <v>1508214.4464</v>
      </c>
    </row>
    <row r="48" spans="2:6">
      <c r="B48" s="124" t="s">
        <v>6</v>
      </c>
      <c r="C48" s="22" t="s">
        <v>41</v>
      </c>
      <c r="D48" s="207">
        <v>1508214.4464</v>
      </c>
      <c r="E48" s="74">
        <v>1422805.0834999999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12.662599999999999</v>
      </c>
      <c r="E50" s="74">
        <v>12.960699999999999</v>
      </c>
    </row>
    <row r="51" spans="2:5">
      <c r="B51" s="103" t="s">
        <v>6</v>
      </c>
      <c r="C51" s="15" t="s">
        <v>190</v>
      </c>
      <c r="D51" s="294">
        <v>12.615399999999999</v>
      </c>
      <c r="E51" s="76">
        <v>12.8752</v>
      </c>
    </row>
    <row r="52" spans="2:5">
      <c r="B52" s="103" t="s">
        <v>8</v>
      </c>
      <c r="C52" s="15" t="s">
        <v>191</v>
      </c>
      <c r="D52" s="294">
        <v>12.9793</v>
      </c>
      <c r="E52" s="76">
        <v>13.074400000000001</v>
      </c>
    </row>
    <row r="53" spans="2:5" ht="13.5" customHeight="1" thickBot="1">
      <c r="B53" s="104" t="s">
        <v>9</v>
      </c>
      <c r="C53" s="17" t="s">
        <v>41</v>
      </c>
      <c r="D53" s="210">
        <v>12.960699999999999</v>
      </c>
      <c r="E53" s="234">
        <v>13.0206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18520300.990000002</v>
      </c>
      <c r="E58" s="32">
        <f>D58/E21</f>
        <v>0.99970447229641435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5.5">
      <c r="B60" s="184" t="s">
        <v>6</v>
      </c>
      <c r="C60" s="185" t="s">
        <v>45</v>
      </c>
      <c r="D60" s="79">
        <v>0</v>
      </c>
      <c r="E60" s="80">
        <v>0</v>
      </c>
    </row>
    <row r="61" spans="2:5" ht="12.75" customHeight="1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f>E12</f>
        <v>18520300.990000002</v>
      </c>
      <c r="E64" s="82">
        <f>D64/E21</f>
        <v>0.99970447229641435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0</v>
      </c>
      <c r="E69" s="80">
        <v>0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f>E13</f>
        <v>0</v>
      </c>
      <c r="E71" s="67">
        <f>D71/E21</f>
        <v>0</v>
      </c>
    </row>
    <row r="72" spans="2:5">
      <c r="B72" s="132" t="s">
        <v>60</v>
      </c>
      <c r="C72" s="118" t="s">
        <v>63</v>
      </c>
      <c r="D72" s="119">
        <f>E14</f>
        <v>70429.210000000006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64954.33</v>
      </c>
      <c r="E73" s="26">
        <f>D73/E21</f>
        <v>3.5061597665760804E-3</v>
      </c>
    </row>
    <row r="74" spans="2:5">
      <c r="B74" s="131" t="s">
        <v>64</v>
      </c>
      <c r="C74" s="122" t="s">
        <v>66</v>
      </c>
      <c r="D74" s="123">
        <f>D58+D72-D73</f>
        <v>18525775.870000005</v>
      </c>
      <c r="E74" s="67">
        <f>E58+E71+E72-E73</f>
        <v>0.99619831252983826</v>
      </c>
    </row>
    <row r="75" spans="2:5">
      <c r="B75" s="184" t="s">
        <v>4</v>
      </c>
      <c r="C75" s="185" t="s">
        <v>67</v>
      </c>
      <c r="D75" s="79">
        <f>D74</f>
        <v>18525775.870000005</v>
      </c>
      <c r="E75" s="80">
        <f>E74</f>
        <v>0.99619831252983826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81"/>
  <sheetViews>
    <sheetView zoomScale="80" zoomScaleNormal="80" workbookViewId="0">
      <selection activeCell="L30" sqref="L3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69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141941991.41999999</v>
      </c>
      <c r="E11" s="258">
        <f>E12</f>
        <v>117349286.21000001</v>
      </c>
    </row>
    <row r="12" spans="2:7">
      <c r="B12" s="107" t="s">
        <v>4</v>
      </c>
      <c r="C12" s="6" t="s">
        <v>5</v>
      </c>
      <c r="D12" s="261">
        <v>141941991.41999999</v>
      </c>
      <c r="E12" s="262">
        <f>117414823.12-65536.91</f>
        <v>117349286.21000001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253954.91</v>
      </c>
      <c r="E17" s="266">
        <f>SUM(E18:E19)</f>
        <v>451855.12</v>
      </c>
    </row>
    <row r="18" spans="2:6">
      <c r="B18" s="107" t="s">
        <v>4</v>
      </c>
      <c r="C18" s="6" t="s">
        <v>11</v>
      </c>
      <c r="D18" s="261">
        <v>253954.91</v>
      </c>
      <c r="E18" s="264">
        <v>451855.12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141688036.50999999</v>
      </c>
      <c r="E21" s="149">
        <f>E11-E17</f>
        <v>116897431.09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139202750.47999999</v>
      </c>
      <c r="E26" s="232">
        <f>D21</f>
        <v>141688036.50999999</v>
      </c>
    </row>
    <row r="27" spans="2:6">
      <c r="B27" s="9" t="s">
        <v>17</v>
      </c>
      <c r="C27" s="10" t="s">
        <v>187</v>
      </c>
      <c r="D27" s="201">
        <v>-12312284.260000002</v>
      </c>
      <c r="E27" s="225">
        <f>E28-E32</f>
        <v>-13005083.450000001</v>
      </c>
      <c r="F27" s="72"/>
    </row>
    <row r="28" spans="2:6">
      <c r="B28" s="9" t="s">
        <v>18</v>
      </c>
      <c r="C28" s="10" t="s">
        <v>19</v>
      </c>
      <c r="D28" s="201">
        <v>243524.19</v>
      </c>
      <c r="E28" s="226">
        <v>84111.360000000001</v>
      </c>
      <c r="F28" s="72"/>
    </row>
    <row r="29" spans="2:6">
      <c r="B29" s="105" t="s">
        <v>4</v>
      </c>
      <c r="C29" s="6" t="s">
        <v>20</v>
      </c>
      <c r="D29" s="202">
        <v>80937.039999999994</v>
      </c>
      <c r="E29" s="227">
        <v>66081.47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162587.15</v>
      </c>
      <c r="E31" s="227">
        <v>18029.89</v>
      </c>
      <c r="F31" s="72"/>
    </row>
    <row r="32" spans="2:6">
      <c r="B32" s="93" t="s">
        <v>23</v>
      </c>
      <c r="C32" s="11" t="s">
        <v>24</v>
      </c>
      <c r="D32" s="201">
        <v>12555808.450000001</v>
      </c>
      <c r="E32" s="226">
        <f>SUM(E33:E39)</f>
        <v>13089194.810000001</v>
      </c>
      <c r="F32" s="72"/>
    </row>
    <row r="33" spans="2:6">
      <c r="B33" s="105" t="s">
        <v>4</v>
      </c>
      <c r="C33" s="6" t="s">
        <v>25</v>
      </c>
      <c r="D33" s="202">
        <v>12092638.42</v>
      </c>
      <c r="E33" s="227">
        <f>12473869.17-98797.18</f>
        <v>12375071.99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221616.32</v>
      </c>
      <c r="E35" s="227">
        <v>209105.51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241553.71</v>
      </c>
      <c r="E39" s="228">
        <v>505017.31</v>
      </c>
      <c r="F39" s="72"/>
    </row>
    <row r="40" spans="2:6" ht="13.5" thickBot="1">
      <c r="B40" s="98" t="s">
        <v>35</v>
      </c>
      <c r="C40" s="99" t="s">
        <v>36</v>
      </c>
      <c r="D40" s="204">
        <v>14797570.289999999</v>
      </c>
      <c r="E40" s="233">
        <v>-11785521.970000001</v>
      </c>
    </row>
    <row r="41" spans="2:6" ht="13.5" thickBot="1">
      <c r="B41" s="100" t="s">
        <v>37</v>
      </c>
      <c r="C41" s="101" t="s">
        <v>38</v>
      </c>
      <c r="D41" s="205">
        <v>141688036.50999999</v>
      </c>
      <c r="E41" s="149">
        <f>E26+E27+E40</f>
        <v>116897431.08999999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14349569.0702</v>
      </c>
      <c r="E47" s="74">
        <v>13172685.1964</v>
      </c>
    </row>
    <row r="48" spans="2:6">
      <c r="B48" s="124" t="s">
        <v>6</v>
      </c>
      <c r="C48" s="22" t="s">
        <v>41</v>
      </c>
      <c r="D48" s="207">
        <v>13172685.1964</v>
      </c>
      <c r="E48" s="74">
        <v>11898562.88768</v>
      </c>
    </row>
    <row r="49" spans="2:5">
      <c r="B49" s="121" t="s">
        <v>23</v>
      </c>
      <c r="C49" s="125" t="s">
        <v>189</v>
      </c>
      <c r="D49" s="208"/>
      <c r="E49" s="74"/>
    </row>
    <row r="50" spans="2:5">
      <c r="B50" s="103" t="s">
        <v>4</v>
      </c>
      <c r="C50" s="15" t="s">
        <v>40</v>
      </c>
      <c r="D50" s="206">
        <v>9.7007999999999992</v>
      </c>
      <c r="E50" s="74">
        <v>10.7562</v>
      </c>
    </row>
    <row r="51" spans="2:5">
      <c r="B51" s="103" t="s">
        <v>6</v>
      </c>
      <c r="C51" s="15" t="s">
        <v>190</v>
      </c>
      <c r="D51" s="294">
        <v>9.6957000000000004</v>
      </c>
      <c r="E51" s="76">
        <v>9.6359999999999992</v>
      </c>
    </row>
    <row r="52" spans="2:5" ht="12.75" customHeight="1">
      <c r="B52" s="103" t="s">
        <v>8</v>
      </c>
      <c r="C52" s="15" t="s">
        <v>191</v>
      </c>
      <c r="D52" s="294">
        <v>10.926</v>
      </c>
      <c r="E52" s="76">
        <v>11.0343</v>
      </c>
    </row>
    <row r="53" spans="2:5" ht="13.5" thickBot="1">
      <c r="B53" s="104" t="s">
        <v>9</v>
      </c>
      <c r="C53" s="17" t="s">
        <v>41</v>
      </c>
      <c r="D53" s="210">
        <v>10.7562</v>
      </c>
      <c r="E53" s="234">
        <v>9.8245000000000005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117349286.21000001</v>
      </c>
      <c r="E58" s="32">
        <f>D58/E21</f>
        <v>1.0038653982023962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f>E12</f>
        <v>117349286.21000001</v>
      </c>
      <c r="E64" s="82">
        <f>D64/E21</f>
        <v>1.0038653982023962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0</v>
      </c>
      <c r="E69" s="80">
        <v>0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451855.12</v>
      </c>
      <c r="E73" s="26">
        <f>D73/E21</f>
        <v>3.8653982023960317E-3</v>
      </c>
    </row>
    <row r="74" spans="2:5">
      <c r="B74" s="131" t="s">
        <v>64</v>
      </c>
      <c r="C74" s="122" t="s">
        <v>66</v>
      </c>
      <c r="D74" s="123">
        <f>D58-D73</f>
        <v>116897431.09</v>
      </c>
      <c r="E74" s="67">
        <f>E58+E72-E73</f>
        <v>1.0000000000000002</v>
      </c>
    </row>
    <row r="75" spans="2:5">
      <c r="B75" s="184" t="s">
        <v>4</v>
      </c>
      <c r="C75" s="185" t="s">
        <v>67</v>
      </c>
      <c r="D75" s="79">
        <f>D74</f>
        <v>116897431.09</v>
      </c>
      <c r="E75" s="80">
        <f>E74</f>
        <v>1.0000000000000002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70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131838772.81</v>
      </c>
      <c r="E11" s="258">
        <f>E12+E13+E14</f>
        <v>102032819.12</v>
      </c>
    </row>
    <row r="12" spans="2:7">
      <c r="B12" s="107" t="s">
        <v>4</v>
      </c>
      <c r="C12" s="6" t="s">
        <v>5</v>
      </c>
      <c r="D12" s="261">
        <v>131838772.81</v>
      </c>
      <c r="E12" s="262">
        <f>102076125.97-43306.85</f>
        <v>102032819.12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267705.63</v>
      </c>
      <c r="E17" s="266">
        <f>SUM(E18:E20)</f>
        <v>429942.05</v>
      </c>
    </row>
    <row r="18" spans="2:6">
      <c r="B18" s="107" t="s">
        <v>4</v>
      </c>
      <c r="C18" s="6" t="s">
        <v>11</v>
      </c>
      <c r="D18" s="261">
        <v>267705.63</v>
      </c>
      <c r="E18" s="264">
        <v>429942.05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131571067.18000001</v>
      </c>
      <c r="E21" s="149">
        <f>E11-E17</f>
        <v>101602877.07000001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132184066.06000002</v>
      </c>
      <c r="E26" s="232">
        <f>D21</f>
        <v>131571067.18000001</v>
      </c>
    </row>
    <row r="27" spans="2:6">
      <c r="B27" s="9" t="s">
        <v>17</v>
      </c>
      <c r="C27" s="10" t="s">
        <v>187</v>
      </c>
      <c r="D27" s="201">
        <v>-12453094.949999999</v>
      </c>
      <c r="E27" s="225">
        <f>E28-E32</f>
        <v>-12640661.500000002</v>
      </c>
      <c r="F27" s="72"/>
    </row>
    <row r="28" spans="2:6">
      <c r="B28" s="9" t="s">
        <v>18</v>
      </c>
      <c r="C28" s="10" t="s">
        <v>19</v>
      </c>
      <c r="D28" s="201">
        <v>424396.89</v>
      </c>
      <c r="E28" s="226">
        <v>60199.840000000004</v>
      </c>
      <c r="F28" s="72"/>
    </row>
    <row r="29" spans="2:6">
      <c r="B29" s="105" t="s">
        <v>4</v>
      </c>
      <c r="C29" s="6" t="s">
        <v>20</v>
      </c>
      <c r="D29" s="202">
        <v>62596.3</v>
      </c>
      <c r="E29" s="227">
        <v>58102.86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361800.59</v>
      </c>
      <c r="E31" s="227">
        <v>2096.98</v>
      </c>
      <c r="F31" s="72"/>
    </row>
    <row r="32" spans="2:6">
      <c r="B32" s="93" t="s">
        <v>23</v>
      </c>
      <c r="C32" s="11" t="s">
        <v>24</v>
      </c>
      <c r="D32" s="201">
        <v>12877491.84</v>
      </c>
      <c r="E32" s="226">
        <f>SUM(E33:E39)</f>
        <v>12700861.340000002</v>
      </c>
      <c r="F32" s="72"/>
    </row>
    <row r="33" spans="2:6">
      <c r="B33" s="105" t="s">
        <v>4</v>
      </c>
      <c r="C33" s="6" t="s">
        <v>25</v>
      </c>
      <c r="D33" s="202">
        <v>12549326.560000001</v>
      </c>
      <c r="E33" s="227">
        <f>12039002.42-32779.84</f>
        <v>12006222.58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191897.19</v>
      </c>
      <c r="E35" s="227">
        <v>176480.13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136268.09</v>
      </c>
      <c r="E39" s="228">
        <v>518158.63</v>
      </c>
      <c r="F39" s="72"/>
    </row>
    <row r="40" spans="2:6" ht="13.5" thickBot="1">
      <c r="B40" s="98" t="s">
        <v>35</v>
      </c>
      <c r="C40" s="99" t="s">
        <v>36</v>
      </c>
      <c r="D40" s="204">
        <v>11840096.07</v>
      </c>
      <c r="E40" s="233">
        <v>-17327528.609999999</v>
      </c>
    </row>
    <row r="41" spans="2:6" ht="13.5" thickBot="1">
      <c r="B41" s="100" t="s">
        <v>37</v>
      </c>
      <c r="C41" s="101" t="s">
        <v>38</v>
      </c>
      <c r="D41" s="205">
        <v>131571067.18000001</v>
      </c>
      <c r="E41" s="149">
        <f>E26+E27+E40</f>
        <v>101602877.07000001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9864593.4831000008</v>
      </c>
      <c r="E47" s="74">
        <v>8993667.9935999997</v>
      </c>
    </row>
    <row r="48" spans="2:6">
      <c r="B48" s="124" t="s">
        <v>6</v>
      </c>
      <c r="C48" s="22" t="s">
        <v>41</v>
      </c>
      <c r="D48" s="207">
        <v>8993667.9935999997</v>
      </c>
      <c r="E48" s="74">
        <v>8079430.405948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13.399800000000001</v>
      </c>
      <c r="E50" s="74">
        <v>14.629300000000001</v>
      </c>
    </row>
    <row r="51" spans="2:5">
      <c r="B51" s="103" t="s">
        <v>6</v>
      </c>
      <c r="C51" s="15" t="s">
        <v>190</v>
      </c>
      <c r="D51" s="294">
        <v>13.3871</v>
      </c>
      <c r="E51" s="76">
        <v>12.4655</v>
      </c>
    </row>
    <row r="52" spans="2:5" ht="12.75" customHeight="1">
      <c r="B52" s="103" t="s">
        <v>8</v>
      </c>
      <c r="C52" s="15" t="s">
        <v>191</v>
      </c>
      <c r="D52" s="294">
        <v>14.969900000000001</v>
      </c>
      <c r="E52" s="76">
        <v>15.176</v>
      </c>
    </row>
    <row r="53" spans="2:5" ht="13.5" thickBot="1">
      <c r="B53" s="104" t="s">
        <v>9</v>
      </c>
      <c r="C53" s="17" t="s">
        <v>41</v>
      </c>
      <c r="D53" s="210">
        <v>14.629300000000001</v>
      </c>
      <c r="E53" s="234">
        <v>12.5755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102032819.12</v>
      </c>
      <c r="E58" s="32">
        <f>D58/E21</f>
        <v>1.0042315932619093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f>E12</f>
        <v>102032819.12</v>
      </c>
      <c r="E64" s="82">
        <f>D64/E21</f>
        <v>1.0042315932619093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0</v>
      </c>
      <c r="E69" s="80">
        <v>0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f>E17</f>
        <v>429942.05</v>
      </c>
      <c r="E73" s="26">
        <f>D73/E21</f>
        <v>4.2315932619091919E-3</v>
      </c>
    </row>
    <row r="74" spans="2:5">
      <c r="B74" s="131" t="s">
        <v>64</v>
      </c>
      <c r="C74" s="122" t="s">
        <v>66</v>
      </c>
      <c r="D74" s="123">
        <f>D58+D72-D73</f>
        <v>101602877.07000001</v>
      </c>
      <c r="E74" s="67">
        <f>E58+E72-E73</f>
        <v>1</v>
      </c>
    </row>
    <row r="75" spans="2:5">
      <c r="B75" s="184" t="s">
        <v>4</v>
      </c>
      <c r="C75" s="185" t="s">
        <v>67</v>
      </c>
      <c r="D75" s="79">
        <f>D74</f>
        <v>101602877.07000001</v>
      </c>
      <c r="E75" s="80">
        <f>E74</f>
        <v>1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71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93" t="s">
        <v>185</v>
      </c>
      <c r="D11" s="257">
        <v>14160282.16</v>
      </c>
      <c r="E11" s="258">
        <f>E12+E13+E14</f>
        <v>11581951.910000002</v>
      </c>
    </row>
    <row r="12" spans="2:7">
      <c r="B12" s="107" t="s">
        <v>4</v>
      </c>
      <c r="C12" s="194" t="s">
        <v>5</v>
      </c>
      <c r="D12" s="313">
        <v>14160282.16</v>
      </c>
      <c r="E12" s="262">
        <f>11585978.63-4441.27</f>
        <v>11581537.360000001</v>
      </c>
    </row>
    <row r="13" spans="2:7">
      <c r="B13" s="107" t="s">
        <v>6</v>
      </c>
      <c r="C13" s="194" t="s">
        <v>7</v>
      </c>
      <c r="D13" s="313"/>
      <c r="E13" s="262"/>
    </row>
    <row r="14" spans="2:7">
      <c r="B14" s="107" t="s">
        <v>8</v>
      </c>
      <c r="C14" s="194" t="s">
        <v>10</v>
      </c>
      <c r="D14" s="313"/>
      <c r="E14" s="262">
        <f>E15</f>
        <v>414.55</v>
      </c>
    </row>
    <row r="15" spans="2:7">
      <c r="B15" s="107" t="s">
        <v>182</v>
      </c>
      <c r="C15" s="194" t="s">
        <v>11</v>
      </c>
      <c r="D15" s="313"/>
      <c r="E15" s="262">
        <v>414.55</v>
      </c>
    </row>
    <row r="16" spans="2:7">
      <c r="B16" s="108" t="s">
        <v>183</v>
      </c>
      <c r="C16" s="195" t="s">
        <v>12</v>
      </c>
      <c r="D16" s="315"/>
      <c r="E16" s="264"/>
    </row>
    <row r="17" spans="2:6">
      <c r="B17" s="9" t="s">
        <v>13</v>
      </c>
      <c r="C17" s="196" t="s">
        <v>65</v>
      </c>
      <c r="D17" s="316">
        <v>22105.88</v>
      </c>
      <c r="E17" s="266">
        <f>E18</f>
        <v>33629.39</v>
      </c>
    </row>
    <row r="18" spans="2:6">
      <c r="B18" s="107" t="s">
        <v>4</v>
      </c>
      <c r="C18" s="194" t="s">
        <v>11</v>
      </c>
      <c r="D18" s="315">
        <v>22105.88</v>
      </c>
      <c r="E18" s="264">
        <v>33629.39</v>
      </c>
    </row>
    <row r="19" spans="2:6" ht="15" customHeight="1">
      <c r="B19" s="107" t="s">
        <v>6</v>
      </c>
      <c r="C19" s="194" t="s">
        <v>184</v>
      </c>
      <c r="D19" s="313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14138176.279999999</v>
      </c>
      <c r="E21" s="149">
        <f>E11-E17</f>
        <v>11548322.520000001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18075268.039999999</v>
      </c>
      <c r="E26" s="232">
        <f>D21</f>
        <v>14138176.279999999</v>
      </c>
    </row>
    <row r="27" spans="2:6">
      <c r="B27" s="9" t="s">
        <v>17</v>
      </c>
      <c r="C27" s="10" t="s">
        <v>187</v>
      </c>
      <c r="D27" s="201">
        <v>-2652418.44</v>
      </c>
      <c r="E27" s="225">
        <f>E28-E32</f>
        <v>-1655538.6900000002</v>
      </c>
      <c r="F27" s="72"/>
    </row>
    <row r="28" spans="2:6">
      <c r="B28" s="9" t="s">
        <v>18</v>
      </c>
      <c r="C28" s="10" t="s">
        <v>19</v>
      </c>
      <c r="D28" s="201">
        <v>255576.25</v>
      </c>
      <c r="E28" s="226">
        <v>149585.30000000002</v>
      </c>
      <c r="F28" s="72"/>
    </row>
    <row r="29" spans="2:6">
      <c r="B29" s="105" t="s">
        <v>4</v>
      </c>
      <c r="C29" s="6" t="s">
        <v>20</v>
      </c>
      <c r="D29" s="202">
        <v>11663.39</v>
      </c>
      <c r="E29" s="227">
        <v>11662.2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243912.86</v>
      </c>
      <c r="E31" s="227">
        <v>137923.1</v>
      </c>
      <c r="F31" s="72"/>
    </row>
    <row r="32" spans="2:6">
      <c r="B32" s="93" t="s">
        <v>23</v>
      </c>
      <c r="C32" s="11" t="s">
        <v>24</v>
      </c>
      <c r="D32" s="201">
        <v>2907994.69</v>
      </c>
      <c r="E32" s="226">
        <f>SUM(E33:E39)</f>
        <v>1805123.9900000002</v>
      </c>
      <c r="F32" s="72"/>
    </row>
    <row r="33" spans="2:6">
      <c r="B33" s="105" t="s">
        <v>4</v>
      </c>
      <c r="C33" s="6" t="s">
        <v>25</v>
      </c>
      <c r="D33" s="202">
        <v>2410709.92</v>
      </c>
      <c r="E33" s="227">
        <f>1721095.62+4441.27</f>
        <v>1725536.8900000001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21517.68</v>
      </c>
      <c r="E35" s="227">
        <v>19219.36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475767.09</v>
      </c>
      <c r="E39" s="228">
        <v>60367.74</v>
      </c>
      <c r="F39" s="72"/>
    </row>
    <row r="40" spans="2:6" ht="13.5" thickBot="1">
      <c r="B40" s="98" t="s">
        <v>35</v>
      </c>
      <c r="C40" s="99" t="s">
        <v>36</v>
      </c>
      <c r="D40" s="204">
        <v>-1284673.32</v>
      </c>
      <c r="E40" s="233">
        <v>-934315.07</v>
      </c>
    </row>
    <row r="41" spans="2:6" ht="13.5" thickBot="1">
      <c r="B41" s="100" t="s">
        <v>37</v>
      </c>
      <c r="C41" s="101" t="s">
        <v>38</v>
      </c>
      <c r="D41" s="205">
        <v>14138176.279999999</v>
      </c>
      <c r="E41" s="149">
        <f>E26+E27+E40</f>
        <v>11548322.52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1094211.2933</v>
      </c>
      <c r="E47" s="74">
        <v>926962.28419999999</v>
      </c>
    </row>
    <row r="48" spans="2:6">
      <c r="B48" s="124" t="s">
        <v>6</v>
      </c>
      <c r="C48" s="22" t="s">
        <v>41</v>
      </c>
      <c r="D48" s="207">
        <v>926962.28419999999</v>
      </c>
      <c r="E48" s="74">
        <v>817991.52280000004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16.518999999999998</v>
      </c>
      <c r="E50" s="74">
        <v>15.2522</v>
      </c>
    </row>
    <row r="51" spans="2:5">
      <c r="B51" s="103" t="s">
        <v>6</v>
      </c>
      <c r="C51" s="15" t="s">
        <v>190</v>
      </c>
      <c r="D51" s="294">
        <v>14.867699999999999</v>
      </c>
      <c r="E51" s="76">
        <v>14.0402</v>
      </c>
    </row>
    <row r="52" spans="2:5" ht="12.75" customHeight="1">
      <c r="B52" s="103" t="s">
        <v>8</v>
      </c>
      <c r="C52" s="15" t="s">
        <v>191</v>
      </c>
      <c r="D52" s="206">
        <v>16.619</v>
      </c>
      <c r="E52" s="76">
        <v>15.8848</v>
      </c>
    </row>
    <row r="53" spans="2:5" ht="13.5" thickBot="1">
      <c r="B53" s="104" t="s">
        <v>9</v>
      </c>
      <c r="C53" s="17" t="s">
        <v>41</v>
      </c>
      <c r="D53" s="210">
        <v>15.2522</v>
      </c>
      <c r="E53" s="234">
        <v>14.117900000000001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11581537.360000001</v>
      </c>
      <c r="E58" s="32">
        <f>D58/E21</f>
        <v>1.0028761614461734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f>E12</f>
        <v>11581537.360000001</v>
      </c>
      <c r="E64" s="82">
        <f>D64/E21</f>
        <v>1.0028761614461734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0</v>
      </c>
      <c r="E69" s="80">
        <v>0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f>E13</f>
        <v>0</v>
      </c>
      <c r="E71" s="67">
        <f>D71/E21</f>
        <v>0</v>
      </c>
    </row>
    <row r="72" spans="2:5">
      <c r="B72" s="132" t="s">
        <v>60</v>
      </c>
      <c r="C72" s="118" t="s">
        <v>63</v>
      </c>
      <c r="D72" s="119">
        <f>E14</f>
        <v>414.55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33629.39</v>
      </c>
      <c r="E73" s="26">
        <f>D73/E21</f>
        <v>2.9120584346132372E-3</v>
      </c>
    </row>
    <row r="74" spans="2:5">
      <c r="B74" s="131" t="s">
        <v>64</v>
      </c>
      <c r="C74" s="122" t="s">
        <v>66</v>
      </c>
      <c r="D74" s="123">
        <f>D58+D72-D73</f>
        <v>11548322.520000001</v>
      </c>
      <c r="E74" s="67">
        <f>E58+E71+E72-E73</f>
        <v>0.99996410301156013</v>
      </c>
    </row>
    <row r="75" spans="2:5">
      <c r="B75" s="184" t="s">
        <v>4</v>
      </c>
      <c r="C75" s="185" t="s">
        <v>67</v>
      </c>
      <c r="D75" s="79">
        <f>D74</f>
        <v>11548322.520000001</v>
      </c>
      <c r="E75" s="80">
        <f>E74</f>
        <v>0.99996410301156013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72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89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15634572.51</v>
      </c>
      <c r="E11" s="258">
        <f>E12+E13+E14</f>
        <v>12203176.65</v>
      </c>
    </row>
    <row r="12" spans="2:5">
      <c r="B12" s="107" t="s">
        <v>4</v>
      </c>
      <c r="C12" s="6" t="s">
        <v>5</v>
      </c>
      <c r="D12" s="261">
        <v>15634572.51</v>
      </c>
      <c r="E12" s="262">
        <v>12203176.65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23866.46</v>
      </c>
      <c r="E17" s="266">
        <f>E18</f>
        <v>42572.61</v>
      </c>
    </row>
    <row r="18" spans="2:6">
      <c r="B18" s="107" t="s">
        <v>4</v>
      </c>
      <c r="C18" s="6" t="s">
        <v>11</v>
      </c>
      <c r="D18" s="261">
        <v>23866.46</v>
      </c>
      <c r="E18" s="264">
        <v>42572.61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15610706.049999999</v>
      </c>
      <c r="E21" s="149">
        <f>E11-E17</f>
        <v>12160604.040000001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14813744.030000001</v>
      </c>
      <c r="E26" s="232">
        <f>D21</f>
        <v>15610706.049999999</v>
      </c>
    </row>
    <row r="27" spans="2:6">
      <c r="B27" s="9" t="s">
        <v>17</v>
      </c>
      <c r="C27" s="10" t="s">
        <v>187</v>
      </c>
      <c r="D27" s="201">
        <v>-1598083.27</v>
      </c>
      <c r="E27" s="225">
        <f>E28-E32</f>
        <v>-1241955.97</v>
      </c>
      <c r="F27" s="72"/>
    </row>
    <row r="28" spans="2:6">
      <c r="B28" s="9" t="s">
        <v>18</v>
      </c>
      <c r="C28" s="10" t="s">
        <v>19</v>
      </c>
      <c r="D28" s="201">
        <v>270822.7</v>
      </c>
      <c r="E28" s="226">
        <v>210634.05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270822.7</v>
      </c>
      <c r="E31" s="227">
        <v>210634.05</v>
      </c>
      <c r="F31" s="72"/>
    </row>
    <row r="32" spans="2:6">
      <c r="B32" s="93" t="s">
        <v>23</v>
      </c>
      <c r="C32" s="11" t="s">
        <v>24</v>
      </c>
      <c r="D32" s="201">
        <v>1868905.97</v>
      </c>
      <c r="E32" s="226">
        <f>E33+E35+E39</f>
        <v>1452590.02</v>
      </c>
      <c r="F32" s="72"/>
    </row>
    <row r="33" spans="2:6">
      <c r="B33" s="105" t="s">
        <v>4</v>
      </c>
      <c r="C33" s="6" t="s">
        <v>25</v>
      </c>
      <c r="D33" s="202">
        <v>1737635.16</v>
      </c>
      <c r="E33" s="227">
        <v>1391684.48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21949.98</v>
      </c>
      <c r="E35" s="227">
        <v>21835.48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109320.83</v>
      </c>
      <c r="E39" s="228">
        <v>39070.06</v>
      </c>
      <c r="F39" s="72"/>
    </row>
    <row r="40" spans="2:6" ht="13.5" thickBot="1">
      <c r="B40" s="98" t="s">
        <v>35</v>
      </c>
      <c r="C40" s="99" t="s">
        <v>36</v>
      </c>
      <c r="D40" s="204">
        <v>2395045.29</v>
      </c>
      <c r="E40" s="233">
        <v>-2208146.04</v>
      </c>
    </row>
    <row r="41" spans="2:6" ht="13.5" thickBot="1">
      <c r="B41" s="100" t="s">
        <v>37</v>
      </c>
      <c r="C41" s="101" t="s">
        <v>38</v>
      </c>
      <c r="D41" s="205">
        <v>15610706.050000001</v>
      </c>
      <c r="E41" s="149">
        <f>E26+E27+E40</f>
        <v>12160604.039999999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1353664.848</v>
      </c>
      <c r="E47" s="74">
        <v>1219204.2578</v>
      </c>
    </row>
    <row r="48" spans="2:6">
      <c r="B48" s="124" t="s">
        <v>6</v>
      </c>
      <c r="C48" s="22" t="s">
        <v>41</v>
      </c>
      <c r="D48" s="207">
        <v>1219204.2578</v>
      </c>
      <c r="E48" s="74">
        <v>1116231.7472999999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10.9434</v>
      </c>
      <c r="E50" s="74">
        <f>D53</f>
        <v>12.804</v>
      </c>
    </row>
    <row r="51" spans="2:5">
      <c r="B51" s="103" t="s">
        <v>6</v>
      </c>
      <c r="C51" s="15" t="s">
        <v>190</v>
      </c>
      <c r="D51" s="294">
        <v>10.9434</v>
      </c>
      <c r="E51" s="76">
        <v>10.846399999999999</v>
      </c>
    </row>
    <row r="52" spans="2:5" ht="12.75" customHeight="1">
      <c r="B52" s="103" t="s">
        <v>8</v>
      </c>
      <c r="C52" s="15" t="s">
        <v>191</v>
      </c>
      <c r="D52" s="294">
        <v>12.9625</v>
      </c>
      <c r="E52" s="76">
        <v>13.472099999999999</v>
      </c>
    </row>
    <row r="53" spans="2:5" ht="13.5" thickBot="1">
      <c r="B53" s="104" t="s">
        <v>9</v>
      </c>
      <c r="C53" s="17" t="s">
        <v>41</v>
      </c>
      <c r="D53" s="210">
        <v>12.804</v>
      </c>
      <c r="E53" s="234">
        <v>10.894299999999999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12203176.65</v>
      </c>
      <c r="E58" s="32">
        <f>D58/E21</f>
        <v>1.0035008631035074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f>E12</f>
        <v>12203176.65</v>
      </c>
      <c r="E64" s="82">
        <f>D64/E21</f>
        <v>1.0035008631035074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0</v>
      </c>
      <c r="E69" s="80">
        <v>0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f>E17</f>
        <v>42572.61</v>
      </c>
      <c r="E73" s="26">
        <f>D73/E21</f>
        <v>3.5008631035074798E-3</v>
      </c>
    </row>
    <row r="74" spans="2:5">
      <c r="B74" s="131" t="s">
        <v>64</v>
      </c>
      <c r="C74" s="122" t="s">
        <v>66</v>
      </c>
      <c r="D74" s="123">
        <f>D58-D73+D72</f>
        <v>12160604.040000001</v>
      </c>
      <c r="E74" s="67">
        <f>E58+E72-E73</f>
        <v>0.99999999999999989</v>
      </c>
    </row>
    <row r="75" spans="2:5">
      <c r="B75" s="184" t="s">
        <v>4</v>
      </c>
      <c r="C75" s="185" t="s">
        <v>67</v>
      </c>
      <c r="D75" s="79">
        <f>D74</f>
        <v>12160604.040000001</v>
      </c>
      <c r="E75" s="80">
        <f>E74</f>
        <v>0.99999999999999989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73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89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3386471.1</v>
      </c>
      <c r="E11" s="258">
        <f>E12+E14</f>
        <v>2165417.9699999997</v>
      </c>
    </row>
    <row r="12" spans="2:5">
      <c r="B12" s="107" t="s">
        <v>4</v>
      </c>
      <c r="C12" s="6" t="s">
        <v>5</v>
      </c>
      <c r="D12" s="261">
        <v>3386413.43</v>
      </c>
      <c r="E12" s="262">
        <f>2193712.86-28294.89</f>
        <v>2165417.9699999997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>
        <v>57.67</v>
      </c>
      <c r="E14" s="262"/>
    </row>
    <row r="15" spans="2:5">
      <c r="B15" s="107" t="s">
        <v>182</v>
      </c>
      <c r="C15" s="69" t="s">
        <v>11</v>
      </c>
      <c r="D15" s="261">
        <v>57.67</v>
      </c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5769.75</v>
      </c>
      <c r="E17" s="266">
        <f>E18</f>
        <v>4017.68</v>
      </c>
    </row>
    <row r="18" spans="2:6">
      <c r="B18" s="107" t="s">
        <v>4</v>
      </c>
      <c r="C18" s="6" t="s">
        <v>11</v>
      </c>
      <c r="D18" s="261">
        <v>5769.75</v>
      </c>
      <c r="E18" s="264">
        <v>4017.68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3380701.35</v>
      </c>
      <c r="E21" s="149">
        <f>E11-E17</f>
        <v>2161400.2899999996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3459891.31</v>
      </c>
      <c r="E26" s="232">
        <f>D21</f>
        <v>3380701.35</v>
      </c>
    </row>
    <row r="27" spans="2:6">
      <c r="B27" s="9" t="s">
        <v>17</v>
      </c>
      <c r="C27" s="10" t="s">
        <v>187</v>
      </c>
      <c r="D27" s="201">
        <v>-302282.95</v>
      </c>
      <c r="E27" s="225">
        <f>E28-E32</f>
        <v>-765722.03</v>
      </c>
      <c r="F27" s="72"/>
    </row>
    <row r="28" spans="2:6">
      <c r="B28" s="9" t="s">
        <v>18</v>
      </c>
      <c r="C28" s="10" t="s">
        <v>19</v>
      </c>
      <c r="D28" s="201">
        <v>0</v>
      </c>
      <c r="E28" s="226"/>
      <c r="F28" s="72"/>
    </row>
    <row r="29" spans="2:6">
      <c r="B29" s="105" t="s">
        <v>4</v>
      </c>
      <c r="C29" s="174" t="s">
        <v>20</v>
      </c>
      <c r="D29" s="202"/>
      <c r="E29" s="227"/>
      <c r="F29" s="72"/>
    </row>
    <row r="30" spans="2:6">
      <c r="B30" s="105" t="s">
        <v>6</v>
      </c>
      <c r="C30" s="174" t="s">
        <v>21</v>
      </c>
      <c r="D30" s="202"/>
      <c r="E30" s="227"/>
      <c r="F30" s="72"/>
    </row>
    <row r="31" spans="2:6">
      <c r="B31" s="105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302282.95</v>
      </c>
      <c r="E32" s="226">
        <f>SUM(E33:E39)</f>
        <v>765722.03</v>
      </c>
      <c r="F32" s="72"/>
    </row>
    <row r="33" spans="2:6">
      <c r="B33" s="105" t="s">
        <v>4</v>
      </c>
      <c r="C33" s="174" t="s">
        <v>25</v>
      </c>
      <c r="D33" s="202">
        <v>262393.96999999997</v>
      </c>
      <c r="E33" s="227">
        <f>702200.46+28294.89</f>
        <v>730495.35</v>
      </c>
      <c r="F33" s="72"/>
    </row>
    <row r="34" spans="2:6">
      <c r="B34" s="105" t="s">
        <v>6</v>
      </c>
      <c r="C34" s="174" t="s">
        <v>26</v>
      </c>
      <c r="D34" s="202"/>
      <c r="E34" s="227"/>
      <c r="F34" s="72"/>
    </row>
    <row r="35" spans="2:6">
      <c r="B35" s="105" t="s">
        <v>8</v>
      </c>
      <c r="C35" s="174" t="s">
        <v>27</v>
      </c>
      <c r="D35" s="202">
        <v>34040.71</v>
      </c>
      <c r="E35" s="227">
        <v>28904.91</v>
      </c>
      <c r="F35" s="72"/>
    </row>
    <row r="36" spans="2:6">
      <c r="B36" s="105" t="s">
        <v>9</v>
      </c>
      <c r="C36" s="174" t="s">
        <v>28</v>
      </c>
      <c r="D36" s="202"/>
      <c r="E36" s="227"/>
      <c r="F36" s="72"/>
    </row>
    <row r="37" spans="2:6" ht="25.5">
      <c r="B37" s="105" t="s">
        <v>29</v>
      </c>
      <c r="C37" s="174" t="s">
        <v>30</v>
      </c>
      <c r="D37" s="202"/>
      <c r="E37" s="227"/>
      <c r="F37" s="72"/>
    </row>
    <row r="38" spans="2:6">
      <c r="B38" s="105" t="s">
        <v>31</v>
      </c>
      <c r="C38" s="174" t="s">
        <v>32</v>
      </c>
      <c r="D38" s="202"/>
      <c r="E38" s="227"/>
      <c r="F38" s="72"/>
    </row>
    <row r="39" spans="2:6">
      <c r="B39" s="106" t="s">
        <v>33</v>
      </c>
      <c r="C39" s="183" t="s">
        <v>34</v>
      </c>
      <c r="D39" s="203">
        <v>5848.27</v>
      </c>
      <c r="E39" s="228">
        <v>6321.77</v>
      </c>
      <c r="F39" s="72"/>
    </row>
    <row r="40" spans="2:6" ht="13.5" thickBot="1">
      <c r="B40" s="98" t="s">
        <v>35</v>
      </c>
      <c r="C40" s="99" t="s">
        <v>36</v>
      </c>
      <c r="D40" s="204">
        <v>223092.99</v>
      </c>
      <c r="E40" s="233">
        <v>-453579.03</v>
      </c>
    </row>
    <row r="41" spans="2:6" ht="13.5" thickBot="1">
      <c r="B41" s="100" t="s">
        <v>37</v>
      </c>
      <c r="C41" s="101" t="s">
        <v>38</v>
      </c>
      <c r="D41" s="205">
        <v>3380701.3499999996</v>
      </c>
      <c r="E41" s="149">
        <f>E26+E27+E40</f>
        <v>2161400.29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85" t="s">
        <v>40</v>
      </c>
      <c r="D47" s="206">
        <v>489600.11291999999</v>
      </c>
      <c r="E47" s="74">
        <v>448474.96818800003</v>
      </c>
    </row>
    <row r="48" spans="2:6">
      <c r="B48" s="124" t="s">
        <v>6</v>
      </c>
      <c r="C48" s="187" t="s">
        <v>41</v>
      </c>
      <c r="D48" s="207">
        <v>448474.96818800003</v>
      </c>
      <c r="E48" s="74">
        <v>344905.10879999999</v>
      </c>
    </row>
    <row r="49" spans="2:5">
      <c r="B49" s="121" t="s">
        <v>23</v>
      </c>
      <c r="C49" s="125" t="s">
        <v>189</v>
      </c>
      <c r="D49" s="208"/>
      <c r="E49" s="74"/>
    </row>
    <row r="50" spans="2:5">
      <c r="B50" s="103" t="s">
        <v>4</v>
      </c>
      <c r="C50" s="185" t="s">
        <v>40</v>
      </c>
      <c r="D50" s="206">
        <v>7.06677</v>
      </c>
      <c r="E50" s="74">
        <v>7.5382160000000002</v>
      </c>
    </row>
    <row r="51" spans="2:5">
      <c r="B51" s="103" t="s">
        <v>6</v>
      </c>
      <c r="C51" s="185" t="s">
        <v>190</v>
      </c>
      <c r="D51" s="209">
        <v>7.0545429999999998</v>
      </c>
      <c r="E51" s="74">
        <v>6.2445050000000002</v>
      </c>
    </row>
    <row r="52" spans="2:5" ht="12.75" customHeight="1">
      <c r="B52" s="103" t="s">
        <v>8</v>
      </c>
      <c r="C52" s="185" t="s">
        <v>191</v>
      </c>
      <c r="D52" s="209">
        <v>7.6439409999999999</v>
      </c>
      <c r="E52" s="74">
        <v>7.9701760000000004</v>
      </c>
    </row>
    <row r="53" spans="2:5" ht="13.5" thickBot="1">
      <c r="B53" s="104" t="s">
        <v>9</v>
      </c>
      <c r="C53" s="189" t="s">
        <v>41</v>
      </c>
      <c r="D53" s="210">
        <v>7.5382160000000002</v>
      </c>
      <c r="E53" s="234">
        <v>6.2666519999999997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2165417.9699999997</v>
      </c>
      <c r="E58" s="32">
        <f>D58/E21</f>
        <v>1.0018588319889603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v>2160850.0299999998</v>
      </c>
      <c r="E64" s="82">
        <f>D64/E21</f>
        <v>0.999745415042949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4567.9399999999996</v>
      </c>
      <c r="E69" s="80">
        <f>D69/E21</f>
        <v>2.1134169460114214E-3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f>E17</f>
        <v>4017.68</v>
      </c>
      <c r="E73" s="26">
        <f>D73/E21</f>
        <v>1.8588319889602683E-3</v>
      </c>
    </row>
    <row r="74" spans="2:5">
      <c r="B74" s="131" t="s">
        <v>64</v>
      </c>
      <c r="C74" s="122" t="s">
        <v>66</v>
      </c>
      <c r="D74" s="123">
        <f>D58+D72-D73</f>
        <v>2161400.2899999996</v>
      </c>
      <c r="E74" s="67">
        <f>E58+E72-E73</f>
        <v>1</v>
      </c>
    </row>
    <row r="75" spans="2:5">
      <c r="B75" s="184" t="s">
        <v>4</v>
      </c>
      <c r="C75" s="185" t="s">
        <v>67</v>
      </c>
      <c r="D75" s="79">
        <f>D74</f>
        <v>2161400.2899999996</v>
      </c>
      <c r="E75" s="80">
        <f>E74</f>
        <v>1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76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4291005.78</v>
      </c>
      <c r="E11" s="258">
        <f>E12+E14</f>
        <v>3537319.1199999996</v>
      </c>
    </row>
    <row r="12" spans="2:7">
      <c r="B12" s="107" t="s">
        <v>4</v>
      </c>
      <c r="C12" s="6" t="s">
        <v>5</v>
      </c>
      <c r="D12" s="261">
        <v>4290929.38</v>
      </c>
      <c r="E12" s="262">
        <v>3537319.1199999996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>
        <v>76.400000000000006</v>
      </c>
      <c r="E14" s="262"/>
    </row>
    <row r="15" spans="2:7">
      <c r="B15" s="107" t="s">
        <v>182</v>
      </c>
      <c r="C15" s="69" t="s">
        <v>11</v>
      </c>
      <c r="D15" s="261">
        <v>76.400000000000006</v>
      </c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7369.32</v>
      </c>
      <c r="E17" s="266">
        <f>E18</f>
        <v>10232.66</v>
      </c>
    </row>
    <row r="18" spans="2:6">
      <c r="B18" s="107" t="s">
        <v>4</v>
      </c>
      <c r="C18" s="6" t="s">
        <v>11</v>
      </c>
      <c r="D18" s="261">
        <v>7369.32</v>
      </c>
      <c r="E18" s="264">
        <v>10232.66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4283636.46</v>
      </c>
      <c r="E21" s="149">
        <f>E11-E17</f>
        <v>3527086.4599999995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4920101.3599999994</v>
      </c>
      <c r="E26" s="232">
        <f>D21</f>
        <v>4283636.46</v>
      </c>
    </row>
    <row r="27" spans="2:6">
      <c r="B27" s="9" t="s">
        <v>17</v>
      </c>
      <c r="C27" s="10" t="s">
        <v>187</v>
      </c>
      <c r="D27" s="201">
        <v>-1008062.12</v>
      </c>
      <c r="E27" s="225">
        <f>E28-E32</f>
        <v>-531778.35000000009</v>
      </c>
      <c r="F27" s="72"/>
    </row>
    <row r="28" spans="2:6">
      <c r="B28" s="9" t="s">
        <v>18</v>
      </c>
      <c r="C28" s="10" t="s">
        <v>19</v>
      </c>
      <c r="D28" s="201">
        <v>51306.1</v>
      </c>
      <c r="E28" s="226">
        <v>2021.47</v>
      </c>
      <c r="F28" s="72"/>
    </row>
    <row r="29" spans="2:6">
      <c r="B29" s="105" t="s">
        <v>4</v>
      </c>
      <c r="C29" s="6" t="s">
        <v>20</v>
      </c>
      <c r="D29" s="202">
        <v>49175</v>
      </c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2131.1</v>
      </c>
      <c r="E31" s="227">
        <v>2021.47</v>
      </c>
      <c r="F31" s="72"/>
    </row>
    <row r="32" spans="2:6">
      <c r="B32" s="93" t="s">
        <v>23</v>
      </c>
      <c r="C32" s="11" t="s">
        <v>24</v>
      </c>
      <c r="D32" s="201">
        <v>1059368.22</v>
      </c>
      <c r="E32" s="226">
        <v>533799.82000000007</v>
      </c>
      <c r="F32" s="72"/>
    </row>
    <row r="33" spans="2:6">
      <c r="B33" s="105" t="s">
        <v>4</v>
      </c>
      <c r="C33" s="6" t="s">
        <v>25</v>
      </c>
      <c r="D33" s="202">
        <v>925856.46</v>
      </c>
      <c r="E33" s="227">
        <v>505338.64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29960.19</v>
      </c>
      <c r="E35" s="227">
        <v>28461.18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103551.57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371597.22</v>
      </c>
      <c r="E40" s="233">
        <v>-224771.65</v>
      </c>
    </row>
    <row r="41" spans="2:6" ht="13.5" thickBot="1">
      <c r="B41" s="100" t="s">
        <v>37</v>
      </c>
      <c r="C41" s="101" t="s">
        <v>38</v>
      </c>
      <c r="D41" s="205">
        <v>4283636.459999999</v>
      </c>
      <c r="E41" s="149">
        <f>E26+E27+E40</f>
        <v>3527086.46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480327.90454700001</v>
      </c>
      <c r="E47" s="74">
        <v>385900.97203200002</v>
      </c>
    </row>
    <row r="48" spans="2:6">
      <c r="B48" s="124" t="s">
        <v>6</v>
      </c>
      <c r="C48" s="22" t="s">
        <v>41</v>
      </c>
      <c r="D48" s="207">
        <v>385900.97203200002</v>
      </c>
      <c r="E48" s="74">
        <v>337432.93696999998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10.243213000000001</v>
      </c>
      <c r="E50" s="74">
        <v>11.100350000000001</v>
      </c>
    </row>
    <row r="51" spans="2:5">
      <c r="B51" s="103" t="s">
        <v>6</v>
      </c>
      <c r="C51" s="15" t="s">
        <v>190</v>
      </c>
      <c r="D51" s="209">
        <v>10.242150000000001</v>
      </c>
      <c r="E51" s="76">
        <v>10.44566</v>
      </c>
    </row>
    <row r="52" spans="2:5" ht="12" customHeight="1">
      <c r="B52" s="103" t="s">
        <v>8</v>
      </c>
      <c r="C52" s="15" t="s">
        <v>191</v>
      </c>
      <c r="D52" s="209">
        <v>11.18149</v>
      </c>
      <c r="E52" s="76">
        <v>11.42994</v>
      </c>
    </row>
    <row r="53" spans="2:5" ht="13.5" thickBot="1">
      <c r="B53" s="104" t="s">
        <v>9</v>
      </c>
      <c r="C53" s="17" t="s">
        <v>41</v>
      </c>
      <c r="D53" s="210">
        <v>11.100350000000001</v>
      </c>
      <c r="E53" s="234">
        <v>10.452704000000001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3537319.1199999996</v>
      </c>
      <c r="E58" s="32">
        <f>D58/E21</f>
        <v>1.0029011650596169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v>3529664.53</v>
      </c>
      <c r="E64" s="82">
        <f>D64/E21</f>
        <v>1.0007309347330262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7654.59</v>
      </c>
      <c r="E69" s="80">
        <f>D69/E21</f>
        <v>2.1702303265908602E-3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f>E17</f>
        <v>10232.66</v>
      </c>
      <c r="E73" s="26">
        <f>D73/E21</f>
        <v>2.9011650596169397E-3</v>
      </c>
    </row>
    <row r="74" spans="2:5">
      <c r="B74" s="131" t="s">
        <v>64</v>
      </c>
      <c r="C74" s="122" t="s">
        <v>66</v>
      </c>
      <c r="D74" s="123">
        <f>D58+D72-D73</f>
        <v>3527086.4599999995</v>
      </c>
      <c r="E74" s="67">
        <f>E58+E72-E73</f>
        <v>1</v>
      </c>
    </row>
    <row r="75" spans="2:5">
      <c r="B75" s="184" t="s">
        <v>4</v>
      </c>
      <c r="C75" s="185" t="s">
        <v>67</v>
      </c>
      <c r="D75" s="79">
        <f>D74</f>
        <v>3527086.4599999995</v>
      </c>
      <c r="E75" s="80">
        <f>E74</f>
        <v>1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F81"/>
  <sheetViews>
    <sheetView topLeftCell="A7" zoomScale="80" zoomScaleNormal="80" workbookViewId="0">
      <selection activeCell="G7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75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256"/>
      <c r="C10" s="216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5418842.6999999993</v>
      </c>
      <c r="E11" s="258">
        <f>E12+E14</f>
        <v>4711286.1800000006</v>
      </c>
    </row>
    <row r="12" spans="2:5">
      <c r="B12" s="173" t="s">
        <v>4</v>
      </c>
      <c r="C12" s="174" t="s">
        <v>5</v>
      </c>
      <c r="D12" s="261">
        <v>5418761.3099999996</v>
      </c>
      <c r="E12" s="262">
        <v>4711286.1800000006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>
        <v>81.39</v>
      </c>
      <c r="E14" s="262"/>
    </row>
    <row r="15" spans="2:5">
      <c r="B15" s="173" t="s">
        <v>182</v>
      </c>
      <c r="C15" s="175" t="s">
        <v>11</v>
      </c>
      <c r="D15" s="261">
        <v>81.39</v>
      </c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9229.5</v>
      </c>
      <c r="E17" s="266">
        <f>E18</f>
        <v>8245.369999999999</v>
      </c>
    </row>
    <row r="18" spans="2:6">
      <c r="B18" s="173" t="s">
        <v>4</v>
      </c>
      <c r="C18" s="174" t="s">
        <v>11</v>
      </c>
      <c r="D18" s="261">
        <v>9229.5</v>
      </c>
      <c r="E18" s="264">
        <v>8245.369999999999</v>
      </c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5409613.1999999993</v>
      </c>
      <c r="E21" s="149">
        <f>E11-E17</f>
        <v>4703040.8100000005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56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5842962.4400000004</v>
      </c>
      <c r="E26" s="232">
        <f>D21</f>
        <v>5409613.1999999993</v>
      </c>
    </row>
    <row r="27" spans="2:6">
      <c r="B27" s="9" t="s">
        <v>17</v>
      </c>
      <c r="C27" s="10" t="s">
        <v>187</v>
      </c>
      <c r="D27" s="201">
        <v>-808932.1</v>
      </c>
      <c r="E27" s="225">
        <f>E28-E32</f>
        <v>-457616.39999999997</v>
      </c>
      <c r="F27" s="72"/>
    </row>
    <row r="28" spans="2:6">
      <c r="B28" s="9" t="s">
        <v>18</v>
      </c>
      <c r="C28" s="10" t="s">
        <v>19</v>
      </c>
      <c r="D28" s="201">
        <v>8134.43</v>
      </c>
      <c r="E28" s="226"/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8134.43</v>
      </c>
      <c r="E31" s="227"/>
      <c r="F31" s="72"/>
    </row>
    <row r="32" spans="2:6">
      <c r="B32" s="93" t="s">
        <v>23</v>
      </c>
      <c r="C32" s="11" t="s">
        <v>24</v>
      </c>
      <c r="D32" s="201">
        <v>817066.53</v>
      </c>
      <c r="E32" s="226">
        <f>E33+E35+E39</f>
        <v>457616.39999999997</v>
      </c>
      <c r="F32" s="72"/>
    </row>
    <row r="33" spans="2:6">
      <c r="B33" s="181" t="s">
        <v>4</v>
      </c>
      <c r="C33" s="174" t="s">
        <v>25</v>
      </c>
      <c r="D33" s="202">
        <v>671996.23</v>
      </c>
      <c r="E33" s="227">
        <v>412964.93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42020.28</v>
      </c>
      <c r="E35" s="227">
        <v>40692.050000000003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103050.02</v>
      </c>
      <c r="E39" s="228">
        <v>3959.42</v>
      </c>
      <c r="F39" s="72"/>
    </row>
    <row r="40" spans="2:6" ht="13.5" thickBot="1">
      <c r="B40" s="98" t="s">
        <v>35</v>
      </c>
      <c r="C40" s="99" t="s">
        <v>36</v>
      </c>
      <c r="D40" s="204">
        <v>375582.86</v>
      </c>
      <c r="E40" s="233">
        <v>-248955.99</v>
      </c>
    </row>
    <row r="41" spans="2:6" ht="13.5" thickBot="1">
      <c r="B41" s="100" t="s">
        <v>37</v>
      </c>
      <c r="C41" s="101" t="s">
        <v>38</v>
      </c>
      <c r="D41" s="205">
        <v>5409613.2000000011</v>
      </c>
      <c r="E41" s="149">
        <f>E26+E27+E40</f>
        <v>4703040.8099999987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5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612924.46478000004</v>
      </c>
      <c r="E47" s="74">
        <v>531672.55431000004</v>
      </c>
    </row>
    <row r="48" spans="2:6">
      <c r="B48" s="186" t="s">
        <v>6</v>
      </c>
      <c r="C48" s="187" t="s">
        <v>41</v>
      </c>
      <c r="D48" s="207">
        <v>531672.55431000004</v>
      </c>
      <c r="E48" s="74">
        <v>486028.44018899999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84" t="s">
        <v>4</v>
      </c>
      <c r="C50" s="185" t="s">
        <v>40</v>
      </c>
      <c r="D50" s="206">
        <v>9.5329239999999995</v>
      </c>
      <c r="E50" s="74">
        <v>10.174707</v>
      </c>
    </row>
    <row r="51" spans="2:5">
      <c r="B51" s="184" t="s">
        <v>6</v>
      </c>
      <c r="C51" s="185" t="s">
        <v>190</v>
      </c>
      <c r="D51" s="206">
        <v>9.5329239999999995</v>
      </c>
      <c r="E51" s="74">
        <v>9.6657679999999999</v>
      </c>
    </row>
    <row r="52" spans="2:5" ht="12.75" customHeight="1">
      <c r="B52" s="184" t="s">
        <v>8</v>
      </c>
      <c r="C52" s="185" t="s">
        <v>191</v>
      </c>
      <c r="D52" s="209">
        <v>10.22269</v>
      </c>
      <c r="E52" s="76">
        <v>10.523960000000001</v>
      </c>
    </row>
    <row r="53" spans="2:5" ht="13.5" thickBot="1">
      <c r="B53" s="188" t="s">
        <v>9</v>
      </c>
      <c r="C53" s="189" t="s">
        <v>41</v>
      </c>
      <c r="D53" s="210">
        <v>10.174707</v>
      </c>
      <c r="E53" s="234">
        <v>9.6764720000000004</v>
      </c>
    </row>
    <row r="54" spans="2:5">
      <c r="B54" s="190"/>
      <c r="C54" s="191"/>
      <c r="D54" s="112"/>
      <c r="E54" s="112"/>
    </row>
    <row r="55" spans="2:5" ht="13.5">
      <c r="B55" s="359" t="s">
        <v>62</v>
      </c>
      <c r="C55" s="371"/>
      <c r="D55" s="371"/>
      <c r="E55" s="371"/>
    </row>
    <row r="56" spans="2:5" ht="16.5" customHeight="1" thickBot="1">
      <c r="B56" s="357" t="s">
        <v>192</v>
      </c>
      <c r="C56" s="370"/>
      <c r="D56" s="370"/>
      <c r="E56" s="370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4711286.1800000006</v>
      </c>
      <c r="E58" s="32">
        <f>D58/E21</f>
        <v>1.0017531997558831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v>4701004.9800000004</v>
      </c>
      <c r="E64" s="82">
        <f>D64/E21</f>
        <v>0.99956712474285336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10281.200000000001</v>
      </c>
      <c r="E69" s="80">
        <f>D69/E21</f>
        <v>2.1860750130297084E-3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f>E17</f>
        <v>8245.369999999999</v>
      </c>
      <c r="E73" s="26">
        <f>D73/E21</f>
        <v>1.7531997558830449E-3</v>
      </c>
    </row>
    <row r="74" spans="2:5">
      <c r="B74" s="131" t="s">
        <v>64</v>
      </c>
      <c r="C74" s="122" t="s">
        <v>66</v>
      </c>
      <c r="D74" s="123">
        <f>D58+D72-D73</f>
        <v>4703040.8100000005</v>
      </c>
      <c r="E74" s="67">
        <f>E58+E72-E73</f>
        <v>1</v>
      </c>
    </row>
    <row r="75" spans="2:5">
      <c r="B75" s="184" t="s">
        <v>4</v>
      </c>
      <c r="C75" s="185" t="s">
        <v>67</v>
      </c>
      <c r="D75" s="79">
        <f>D74</f>
        <v>4703040.8100000005</v>
      </c>
      <c r="E75" s="80">
        <f>E74</f>
        <v>1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6.7109375" customWidth="1"/>
    <col min="8" max="8" width="14.5703125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21" customHeight="1">
      <c r="B5" s="355" t="s">
        <v>1</v>
      </c>
      <c r="C5" s="355"/>
      <c r="D5" s="355"/>
      <c r="E5" s="355"/>
    </row>
    <row r="6" spans="2:8" ht="14.25">
      <c r="B6" s="356" t="s">
        <v>86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93" t="s">
        <v>185</v>
      </c>
      <c r="D11" s="257">
        <f>D12+D13+D14</f>
        <v>245537197.39000002</v>
      </c>
      <c r="E11" s="258">
        <f>E12+E13+E14</f>
        <v>217054880.88000003</v>
      </c>
    </row>
    <row r="12" spans="2:8">
      <c r="B12" s="107" t="s">
        <v>4</v>
      </c>
      <c r="C12" s="69" t="s">
        <v>5</v>
      </c>
      <c r="D12" s="261">
        <f>250488287.38-5692464.32</f>
        <v>244795823.06</v>
      </c>
      <c r="E12" s="262">
        <f>222003134.53-5752897.17</f>
        <v>216250237.36000001</v>
      </c>
    </row>
    <row r="13" spans="2:8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f>D15</f>
        <v>741374.33</v>
      </c>
      <c r="E14" s="262">
        <f>E15</f>
        <v>804643.52</v>
      </c>
    </row>
    <row r="15" spans="2:8">
      <c r="B15" s="107" t="s">
        <v>182</v>
      </c>
      <c r="C15" s="69" t="s">
        <v>11</v>
      </c>
      <c r="D15" s="261">
        <v>741374.33</v>
      </c>
      <c r="E15" s="262">
        <v>804643.52</v>
      </c>
    </row>
    <row r="16" spans="2:8">
      <c r="B16" s="108" t="s">
        <v>183</v>
      </c>
      <c r="C16" s="92" t="s">
        <v>12</v>
      </c>
      <c r="D16" s="263"/>
      <c r="E16" s="264"/>
    </row>
    <row r="17" spans="2:7">
      <c r="B17" s="9" t="s">
        <v>13</v>
      </c>
      <c r="C17" s="217" t="s">
        <v>65</v>
      </c>
      <c r="D17" s="265">
        <f>SUM(D18:D19)</f>
        <v>384780.52</v>
      </c>
      <c r="E17" s="266">
        <f>SUM(E18:E19)</f>
        <v>495508.66</v>
      </c>
    </row>
    <row r="18" spans="2:7">
      <c r="B18" s="107" t="s">
        <v>4</v>
      </c>
      <c r="C18" s="69" t="s">
        <v>11</v>
      </c>
      <c r="D18" s="263">
        <v>384780.52</v>
      </c>
      <c r="E18" s="264">
        <v>495508.66</v>
      </c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customHeight="1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f>D11-D17</f>
        <v>245152416.87</v>
      </c>
      <c r="E21" s="149">
        <f>E11-E17</f>
        <v>216559372.22000003</v>
      </c>
      <c r="F21" s="78"/>
      <c r="G21" s="68"/>
    </row>
    <row r="22" spans="2:7">
      <c r="B22" s="3"/>
      <c r="C22" s="7"/>
      <c r="D22" s="8"/>
      <c r="E22" s="8"/>
    </row>
    <row r="23" spans="2:7" ht="13.5">
      <c r="B23" s="358" t="s">
        <v>180</v>
      </c>
      <c r="C23" s="366"/>
      <c r="D23" s="366"/>
      <c r="E23" s="366"/>
    </row>
    <row r="24" spans="2:7" ht="16.5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222956103.34999999</v>
      </c>
      <c r="E26" s="232">
        <f>D21</f>
        <v>245152416.87</v>
      </c>
    </row>
    <row r="27" spans="2:7">
      <c r="B27" s="9" t="s">
        <v>17</v>
      </c>
      <c r="C27" s="10" t="s">
        <v>187</v>
      </c>
      <c r="D27" s="201">
        <v>-7797613.5099999942</v>
      </c>
      <c r="E27" s="225">
        <f>E28-E32</f>
        <v>-5380418.0200000033</v>
      </c>
      <c r="F27" s="72"/>
    </row>
    <row r="28" spans="2:7">
      <c r="B28" s="9" t="s">
        <v>18</v>
      </c>
      <c r="C28" s="10" t="s">
        <v>19</v>
      </c>
      <c r="D28" s="201">
        <v>32574350.34</v>
      </c>
      <c r="E28" s="226">
        <v>29097058.210000001</v>
      </c>
      <c r="F28" s="72"/>
    </row>
    <row r="29" spans="2:7">
      <c r="B29" s="105" t="s">
        <v>4</v>
      </c>
      <c r="C29" s="6" t="s">
        <v>20</v>
      </c>
      <c r="D29" s="202">
        <v>31362486.809999999</v>
      </c>
      <c r="E29" s="227">
        <v>28097739.48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1211863.53</v>
      </c>
      <c r="E31" s="227">
        <v>999318.73</v>
      </c>
      <c r="F31" s="72"/>
    </row>
    <row r="32" spans="2:7">
      <c r="B32" s="93" t="s">
        <v>23</v>
      </c>
      <c r="C32" s="11" t="s">
        <v>24</v>
      </c>
      <c r="D32" s="201">
        <v>40371963.849999994</v>
      </c>
      <c r="E32" s="226">
        <f>SUM(E33:E39)</f>
        <v>34477476.230000004</v>
      </c>
      <c r="F32" s="72"/>
    </row>
    <row r="33" spans="2:6">
      <c r="B33" s="105" t="s">
        <v>4</v>
      </c>
      <c r="C33" s="6" t="s">
        <v>25</v>
      </c>
      <c r="D33" s="202">
        <v>29400902.119999997</v>
      </c>
      <c r="E33" s="227">
        <f>26236027.22+60432.85</f>
        <v>26296460.07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6321517.7199999997</v>
      </c>
      <c r="E35" s="227">
        <v>6042708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4649544.01</v>
      </c>
      <c r="E39" s="228">
        <v>2138308.16</v>
      </c>
      <c r="F39" s="72"/>
    </row>
    <row r="40" spans="2:6" ht="13.5" thickBot="1">
      <c r="B40" s="98" t="s">
        <v>35</v>
      </c>
      <c r="C40" s="99" t="s">
        <v>36</v>
      </c>
      <c r="D40" s="204">
        <v>29993927.030000001</v>
      </c>
      <c r="E40" s="233">
        <v>-23212626.629999999</v>
      </c>
    </row>
    <row r="41" spans="2:6" ht="13.5" thickBot="1">
      <c r="B41" s="100" t="s">
        <v>37</v>
      </c>
      <c r="C41" s="101" t="s">
        <v>38</v>
      </c>
      <c r="D41" s="205">
        <v>245152416.87</v>
      </c>
      <c r="E41" s="149">
        <f>E26+E27+E40</f>
        <v>216559372.22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5.7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12561147.05692446</v>
      </c>
      <c r="E47" s="74">
        <v>12195842.338</v>
      </c>
    </row>
    <row r="48" spans="2:6">
      <c r="B48" s="124" t="s">
        <v>6</v>
      </c>
      <c r="C48" s="22" t="s">
        <v>41</v>
      </c>
      <c r="D48" s="207">
        <v>12195842.338</v>
      </c>
      <c r="E48" s="292">
        <v>11883548.877800001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17.749661104962001</v>
      </c>
      <c r="E50" s="293">
        <v>20.101310764341601</v>
      </c>
    </row>
    <row r="51" spans="2:5">
      <c r="B51" s="103" t="s">
        <v>6</v>
      </c>
      <c r="C51" s="15" t="s">
        <v>190</v>
      </c>
      <c r="D51" s="294">
        <v>17.749700000000001</v>
      </c>
      <c r="E51" s="295">
        <v>17.415500000000002</v>
      </c>
    </row>
    <row r="52" spans="2:5">
      <c r="B52" s="103" t="s">
        <v>8</v>
      </c>
      <c r="C52" s="15" t="s">
        <v>191</v>
      </c>
      <c r="D52" s="294">
        <v>20.687200000000001</v>
      </c>
      <c r="E52" s="295">
        <v>21.191099999999999</v>
      </c>
    </row>
    <row r="53" spans="2:5" ht="12.75" customHeight="1" thickBot="1">
      <c r="B53" s="104" t="s">
        <v>9</v>
      </c>
      <c r="C53" s="17" t="s">
        <v>41</v>
      </c>
      <c r="D53" s="210">
        <v>20.101310764341601</v>
      </c>
      <c r="E53" s="234">
        <v>18.223459544591801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216250237.36000001</v>
      </c>
      <c r="E58" s="32">
        <f>D58/E21</f>
        <v>0.99857251682607406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5.5">
      <c r="B60" s="14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81">
        <f>221739813.55-5752897.17</f>
        <v>215986916.38000003</v>
      </c>
      <c r="E64" s="82">
        <f>D64/E21</f>
        <v>0.9973565870914215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11">
        <v>263320.98</v>
      </c>
      <c r="E69" s="80">
        <f>D69/E21</f>
        <v>1.215929734652608E-3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804643.52</v>
      </c>
      <c r="E72" s="120">
        <f>D72/E21</f>
        <v>3.7155792970371766E-3</v>
      </c>
    </row>
    <row r="73" spans="2:5">
      <c r="B73" s="23" t="s">
        <v>62</v>
      </c>
      <c r="C73" s="24" t="s">
        <v>65</v>
      </c>
      <c r="D73" s="25">
        <f>E17</f>
        <v>495508.66</v>
      </c>
      <c r="E73" s="26">
        <f>D73/E21</f>
        <v>2.2880961231113045E-3</v>
      </c>
    </row>
    <row r="74" spans="2:5">
      <c r="B74" s="121" t="s">
        <v>64</v>
      </c>
      <c r="C74" s="122" t="s">
        <v>66</v>
      </c>
      <c r="D74" s="123">
        <f>D58+D71+D72-D73</f>
        <v>216559372.22000003</v>
      </c>
      <c r="E74" s="67">
        <f>E58+E72-E73</f>
        <v>1</v>
      </c>
    </row>
    <row r="75" spans="2:5">
      <c r="B75" s="14" t="s">
        <v>4</v>
      </c>
      <c r="C75" s="15" t="s">
        <v>67</v>
      </c>
      <c r="D75" s="79">
        <f>D74</f>
        <v>216559372.22000003</v>
      </c>
      <c r="E75" s="80">
        <f>E74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101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256"/>
      <c r="C10" s="216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11358190.370000001</v>
      </c>
      <c r="E11" s="258">
        <f>E12+E14</f>
        <v>8691929.5299999993</v>
      </c>
    </row>
    <row r="12" spans="2:5">
      <c r="B12" s="173" t="s">
        <v>4</v>
      </c>
      <c r="C12" s="174" t="s">
        <v>5</v>
      </c>
      <c r="D12" s="261">
        <v>11253811.300000001</v>
      </c>
      <c r="E12" s="262">
        <v>8691929.5299999993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>
        <v>104379.07</v>
      </c>
      <c r="E14" s="262"/>
    </row>
    <row r="15" spans="2:5">
      <c r="B15" s="173" t="s">
        <v>182</v>
      </c>
      <c r="C15" s="175" t="s">
        <v>11</v>
      </c>
      <c r="D15" s="261">
        <v>104379.07</v>
      </c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123098.81</v>
      </c>
      <c r="E17" s="266">
        <f>E18</f>
        <v>24911.019999999997</v>
      </c>
    </row>
    <row r="18" spans="2:6">
      <c r="B18" s="173" t="s">
        <v>4</v>
      </c>
      <c r="C18" s="174" t="s">
        <v>11</v>
      </c>
      <c r="D18" s="261">
        <v>123098.81</v>
      </c>
      <c r="E18" s="264">
        <v>24911.019999999997</v>
      </c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11235091.560000001</v>
      </c>
      <c r="E21" s="149">
        <f>E11-E17</f>
        <v>8667018.5099999998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56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12893729.619999999</v>
      </c>
      <c r="E26" s="232">
        <f>D21</f>
        <v>11235091.560000001</v>
      </c>
    </row>
    <row r="27" spans="2:6">
      <c r="B27" s="9" t="s">
        <v>17</v>
      </c>
      <c r="C27" s="10" t="s">
        <v>187</v>
      </c>
      <c r="D27" s="201">
        <v>-1865504.24</v>
      </c>
      <c r="E27" s="225">
        <f>E28-E32</f>
        <v>-2544277.84</v>
      </c>
      <c r="F27" s="72"/>
    </row>
    <row r="28" spans="2:6">
      <c r="B28" s="9" t="s">
        <v>18</v>
      </c>
      <c r="C28" s="10" t="s">
        <v>19</v>
      </c>
      <c r="D28" s="201">
        <v>218264.94</v>
      </c>
      <c r="E28" s="226">
        <v>10612.56</v>
      </c>
      <c r="F28" s="72"/>
    </row>
    <row r="29" spans="2:6">
      <c r="B29" s="181" t="s">
        <v>4</v>
      </c>
      <c r="C29" s="174" t="s">
        <v>20</v>
      </c>
      <c r="D29" s="202">
        <v>2450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215814.94</v>
      </c>
      <c r="E31" s="227">
        <v>10612.56</v>
      </c>
      <c r="F31" s="72"/>
    </row>
    <row r="32" spans="2:6">
      <c r="B32" s="93" t="s">
        <v>23</v>
      </c>
      <c r="C32" s="11" t="s">
        <v>24</v>
      </c>
      <c r="D32" s="201">
        <v>2083769.18</v>
      </c>
      <c r="E32" s="226">
        <v>2554890.4</v>
      </c>
      <c r="F32" s="72"/>
    </row>
    <row r="33" spans="2:6">
      <c r="B33" s="181" t="s">
        <v>4</v>
      </c>
      <c r="C33" s="174" t="s">
        <v>25</v>
      </c>
      <c r="D33" s="202">
        <v>2023819.15</v>
      </c>
      <c r="E33" s="227">
        <v>2533868.98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25675.81</v>
      </c>
      <c r="E35" s="227">
        <v>21021.42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34274.22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206866.18</v>
      </c>
      <c r="E40" s="233">
        <v>-23795.21</v>
      </c>
    </row>
    <row r="41" spans="2:6" ht="13.5" thickBot="1">
      <c r="B41" s="100" t="s">
        <v>37</v>
      </c>
      <c r="C41" s="101" t="s">
        <v>38</v>
      </c>
      <c r="D41" s="205">
        <v>11235091.559999999</v>
      </c>
      <c r="E41" s="149">
        <f>E26+E27+E40</f>
        <v>8667018.5099999998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1233669.0815399999</v>
      </c>
      <c r="E47" s="74">
        <v>1057685.5909559999</v>
      </c>
    </row>
    <row r="48" spans="2:6">
      <c r="B48" s="124" t="s">
        <v>6</v>
      </c>
      <c r="C48" s="22" t="s">
        <v>41</v>
      </c>
      <c r="D48" s="207">
        <v>1057685.5909559999</v>
      </c>
      <c r="E48" s="74">
        <v>817332.49030599999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10.45153</v>
      </c>
      <c r="E50" s="74">
        <v>10.622334</v>
      </c>
    </row>
    <row r="51" spans="2:5">
      <c r="B51" s="103" t="s">
        <v>6</v>
      </c>
      <c r="C51" s="15" t="s">
        <v>190</v>
      </c>
      <c r="D51" s="206">
        <v>10.43587</v>
      </c>
      <c r="E51" s="76">
        <v>10.51946</v>
      </c>
    </row>
    <row r="52" spans="2:5" ht="12.75" customHeight="1">
      <c r="B52" s="103" t="s">
        <v>8</v>
      </c>
      <c r="C52" s="15" t="s">
        <v>191</v>
      </c>
      <c r="D52" s="206">
        <v>10.646229999999999</v>
      </c>
      <c r="E52" s="76">
        <v>10.68642</v>
      </c>
    </row>
    <row r="53" spans="2:5" ht="13.5" thickBot="1">
      <c r="B53" s="104" t="s">
        <v>9</v>
      </c>
      <c r="C53" s="17" t="s">
        <v>41</v>
      </c>
      <c r="D53" s="210">
        <v>10.622334</v>
      </c>
      <c r="E53" s="327">
        <v>10.60403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8691929.5299999993</v>
      </c>
      <c r="E58" s="32">
        <f>D58/E21</f>
        <v>1.0028742317754666</v>
      </c>
    </row>
    <row r="59" spans="2:5" ht="25.5">
      <c r="B59" s="186" t="s">
        <v>4</v>
      </c>
      <c r="C59" s="187" t="s">
        <v>44</v>
      </c>
      <c r="D59" s="81">
        <v>0</v>
      </c>
      <c r="E59" s="82">
        <v>0</v>
      </c>
    </row>
    <row r="60" spans="2:5" ht="24" customHeight="1">
      <c r="B60" s="184" t="s">
        <v>6</v>
      </c>
      <c r="C60" s="185" t="s">
        <v>45</v>
      </c>
      <c r="D60" s="79">
        <v>0</v>
      </c>
      <c r="E60" s="80">
        <v>0</v>
      </c>
    </row>
    <row r="61" spans="2:5">
      <c r="B61" s="184" t="s">
        <v>8</v>
      </c>
      <c r="C61" s="185" t="s">
        <v>46</v>
      </c>
      <c r="D61" s="79">
        <v>0</v>
      </c>
      <c r="E61" s="80">
        <v>0</v>
      </c>
    </row>
    <row r="62" spans="2:5">
      <c r="B62" s="184" t="s">
        <v>9</v>
      </c>
      <c r="C62" s="185" t="s">
        <v>47</v>
      </c>
      <c r="D62" s="79">
        <v>0</v>
      </c>
      <c r="E62" s="80">
        <v>0</v>
      </c>
    </row>
    <row r="63" spans="2:5">
      <c r="B63" s="184" t="s">
        <v>29</v>
      </c>
      <c r="C63" s="185" t="s">
        <v>48</v>
      </c>
      <c r="D63" s="79">
        <v>0</v>
      </c>
      <c r="E63" s="80">
        <v>0</v>
      </c>
    </row>
    <row r="64" spans="2:5">
      <c r="B64" s="186" t="s">
        <v>31</v>
      </c>
      <c r="C64" s="187" t="s">
        <v>49</v>
      </c>
      <c r="D64" s="81">
        <v>8670071.3599999994</v>
      </c>
      <c r="E64" s="82">
        <f>D64/E21</f>
        <v>1.0003522376231777</v>
      </c>
    </row>
    <row r="65" spans="2:5">
      <c r="B65" s="186" t="s">
        <v>33</v>
      </c>
      <c r="C65" s="187" t="s">
        <v>194</v>
      </c>
      <c r="D65" s="81">
        <v>0</v>
      </c>
      <c r="E65" s="82">
        <v>0</v>
      </c>
    </row>
    <row r="66" spans="2:5">
      <c r="B66" s="186" t="s">
        <v>50</v>
      </c>
      <c r="C66" s="187" t="s">
        <v>51</v>
      </c>
      <c r="D66" s="81">
        <v>0</v>
      </c>
      <c r="E66" s="82">
        <v>0</v>
      </c>
    </row>
    <row r="67" spans="2:5">
      <c r="B67" s="184" t="s">
        <v>52</v>
      </c>
      <c r="C67" s="185" t="s">
        <v>53</v>
      </c>
      <c r="D67" s="79">
        <v>0</v>
      </c>
      <c r="E67" s="80">
        <v>0</v>
      </c>
    </row>
    <row r="68" spans="2:5">
      <c r="B68" s="184" t="s">
        <v>54</v>
      </c>
      <c r="C68" s="185" t="s">
        <v>55</v>
      </c>
      <c r="D68" s="79">
        <v>0</v>
      </c>
      <c r="E68" s="80">
        <v>0</v>
      </c>
    </row>
    <row r="69" spans="2:5">
      <c r="B69" s="184" t="s">
        <v>56</v>
      </c>
      <c r="C69" s="185" t="s">
        <v>57</v>
      </c>
      <c r="D69" s="311">
        <v>21858.17</v>
      </c>
      <c r="E69" s="80">
        <f>D69/E21</f>
        <v>2.5219941522889398E-3</v>
      </c>
    </row>
    <row r="70" spans="2:5">
      <c r="B70" s="240" t="s">
        <v>58</v>
      </c>
      <c r="C70" s="239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f>E17</f>
        <v>24911.019999999997</v>
      </c>
      <c r="E73" s="26">
        <f>D73/E21</f>
        <v>2.8742317754666936E-3</v>
      </c>
    </row>
    <row r="74" spans="2:5">
      <c r="B74" s="131" t="s">
        <v>64</v>
      </c>
      <c r="C74" s="122" t="s">
        <v>66</v>
      </c>
      <c r="D74" s="123">
        <f>D58+D72-D73</f>
        <v>8667018.5099999998</v>
      </c>
      <c r="E74" s="67">
        <f>E58+E72-E73</f>
        <v>1</v>
      </c>
    </row>
    <row r="75" spans="2:5">
      <c r="B75" s="184" t="s">
        <v>4</v>
      </c>
      <c r="C75" s="185" t="s">
        <v>67</v>
      </c>
      <c r="D75" s="79">
        <f>D74</f>
        <v>8667018.5099999998</v>
      </c>
      <c r="E75" s="80">
        <f>E74</f>
        <v>1</v>
      </c>
    </row>
    <row r="76" spans="2:5">
      <c r="B76" s="184" t="s">
        <v>6</v>
      </c>
      <c r="C76" s="185" t="s">
        <v>195</v>
      </c>
      <c r="D76" s="79">
        <v>0</v>
      </c>
      <c r="E76" s="80">
        <v>0</v>
      </c>
    </row>
    <row r="77" spans="2:5" ht="13.5" thickBot="1">
      <c r="B77" s="188" t="s">
        <v>8</v>
      </c>
      <c r="C77" s="189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F81"/>
  <sheetViews>
    <sheetView zoomScale="80" zoomScaleNormal="80" workbookViewId="0">
      <selection activeCell="Q24" sqref="Q2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74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89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10999855.26</v>
      </c>
      <c r="E11" s="258">
        <f>E12+E14+E13</f>
        <v>9165848.3399999999</v>
      </c>
    </row>
    <row r="12" spans="2:5">
      <c r="B12" s="107" t="s">
        <v>4</v>
      </c>
      <c r="C12" s="6" t="s">
        <v>5</v>
      </c>
      <c r="D12" s="261">
        <v>10999635.289999999</v>
      </c>
      <c r="E12" s="262">
        <v>9165848.3399999999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>
        <v>219.97</v>
      </c>
      <c r="E14" s="262"/>
    </row>
    <row r="15" spans="2:5">
      <c r="B15" s="107" t="s">
        <v>182</v>
      </c>
      <c r="C15" s="69" t="s">
        <v>11</v>
      </c>
      <c r="D15" s="261">
        <v>219.97</v>
      </c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18978.87</v>
      </c>
      <c r="E17" s="266">
        <f>E18</f>
        <v>16263.15</v>
      </c>
    </row>
    <row r="18" spans="2:6">
      <c r="B18" s="107" t="s">
        <v>4</v>
      </c>
      <c r="C18" s="6" t="s">
        <v>11</v>
      </c>
      <c r="D18" s="261">
        <v>18978.87</v>
      </c>
      <c r="E18" s="264">
        <v>16263.15</v>
      </c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10980876.390000001</v>
      </c>
      <c r="E21" s="149">
        <f>E11-E17</f>
        <v>9149585.1899999995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12101130.23</v>
      </c>
      <c r="E26" s="232">
        <f>D21</f>
        <v>10980876.390000001</v>
      </c>
    </row>
    <row r="27" spans="2:6">
      <c r="B27" s="9" t="s">
        <v>17</v>
      </c>
      <c r="C27" s="10" t="s">
        <v>187</v>
      </c>
      <c r="D27" s="201">
        <v>-1697161.8199999998</v>
      </c>
      <c r="E27" s="225">
        <f>E28-E32</f>
        <v>-1370660.8900000001</v>
      </c>
      <c r="F27" s="72"/>
    </row>
    <row r="28" spans="2:6">
      <c r="B28" s="9" t="s">
        <v>18</v>
      </c>
      <c r="C28" s="10" t="s">
        <v>19</v>
      </c>
      <c r="D28" s="201">
        <v>26126.080000000002</v>
      </c>
      <c r="E28" s="226"/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26126.080000000002</v>
      </c>
      <c r="E31" s="227"/>
      <c r="F31" s="72"/>
    </row>
    <row r="32" spans="2:6">
      <c r="B32" s="93" t="s">
        <v>23</v>
      </c>
      <c r="C32" s="11" t="s">
        <v>24</v>
      </c>
      <c r="D32" s="201">
        <v>1723287.9</v>
      </c>
      <c r="E32" s="226">
        <f>E33+E35+E39</f>
        <v>1370660.8900000001</v>
      </c>
      <c r="F32" s="72"/>
    </row>
    <row r="33" spans="2:6">
      <c r="B33" s="105" t="s">
        <v>4</v>
      </c>
      <c r="C33" s="6" t="s">
        <v>25</v>
      </c>
      <c r="D33" s="202">
        <v>1623454.01</v>
      </c>
      <c r="E33" s="227">
        <v>1281927.55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93629</v>
      </c>
      <c r="E35" s="227">
        <v>87051.58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6204.89</v>
      </c>
      <c r="E39" s="228">
        <v>1681.76</v>
      </c>
      <c r="F39" s="72"/>
    </row>
    <row r="40" spans="2:6" ht="13.5" thickBot="1">
      <c r="B40" s="98" t="s">
        <v>35</v>
      </c>
      <c r="C40" s="99" t="s">
        <v>36</v>
      </c>
      <c r="D40" s="204">
        <v>576907.98</v>
      </c>
      <c r="E40" s="233">
        <v>-460630.31</v>
      </c>
    </row>
    <row r="41" spans="2:6" ht="13.5" thickBot="1">
      <c r="B41" s="100" t="s">
        <v>37</v>
      </c>
      <c r="C41" s="101" t="s">
        <v>38</v>
      </c>
      <c r="D41" s="205">
        <v>10980876.390000001</v>
      </c>
      <c r="E41" s="149">
        <f>E26+E27+E40</f>
        <v>9149585.1899999995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1301651.2243349999</v>
      </c>
      <c r="E47" s="74">
        <v>1126274.9694330001</v>
      </c>
    </row>
    <row r="48" spans="2:6">
      <c r="B48" s="124" t="s">
        <v>6</v>
      </c>
      <c r="C48" s="22" t="s">
        <v>41</v>
      </c>
      <c r="D48" s="207">
        <v>1126274.9694330001</v>
      </c>
      <c r="E48" s="74">
        <v>982505.90725199995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9.2967530000000007</v>
      </c>
      <c r="E50" s="74">
        <v>9.7497290000000003</v>
      </c>
    </row>
    <row r="51" spans="2:5">
      <c r="B51" s="103" t="s">
        <v>6</v>
      </c>
      <c r="C51" s="15" t="s">
        <v>190</v>
      </c>
      <c r="D51" s="209">
        <v>9.1789830000000006</v>
      </c>
      <c r="E51" s="76">
        <v>9.2539549999999995</v>
      </c>
    </row>
    <row r="52" spans="2:5" ht="12.75" customHeight="1">
      <c r="B52" s="103" t="s">
        <v>8</v>
      </c>
      <c r="C52" s="15" t="s">
        <v>191</v>
      </c>
      <c r="D52" s="209">
        <v>9.849926</v>
      </c>
      <c r="E52" s="76">
        <v>9.8983729999999994</v>
      </c>
    </row>
    <row r="53" spans="2:5" ht="13.5" thickBot="1">
      <c r="B53" s="104" t="s">
        <v>9</v>
      </c>
      <c r="C53" s="17" t="s">
        <v>41</v>
      </c>
      <c r="D53" s="210">
        <v>9.7497290000000003</v>
      </c>
      <c r="E53" s="234">
        <v>9.3124990000000007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D64+D69</f>
        <v>9165848.3399999999</v>
      </c>
      <c r="E58" s="32">
        <f>D58/E21</f>
        <v>1.001777474023388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v>9151176.2300000004</v>
      </c>
      <c r="E64" s="82">
        <f>D64/E21</f>
        <v>1.0001738920363012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14672.11</v>
      </c>
      <c r="E69" s="80">
        <f>D69/E21</f>
        <v>1.6035819870867829E-3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f>E13</f>
        <v>0</v>
      </c>
      <c r="E71" s="67">
        <f>D71/E21</f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>
      <c r="B73" s="133" t="s">
        <v>62</v>
      </c>
      <c r="C73" s="24" t="s">
        <v>65</v>
      </c>
      <c r="D73" s="25">
        <f>E17</f>
        <v>16263.15</v>
      </c>
      <c r="E73" s="26">
        <f>D73/E21</f>
        <v>1.777474023387939E-3</v>
      </c>
    </row>
    <row r="74" spans="2:5">
      <c r="B74" s="131" t="s">
        <v>64</v>
      </c>
      <c r="C74" s="122" t="s">
        <v>66</v>
      </c>
      <c r="D74" s="123">
        <f>D58+D72-D73+D71</f>
        <v>9149585.1899999995</v>
      </c>
      <c r="E74" s="67">
        <f>E58+E71+E72-E73</f>
        <v>1</v>
      </c>
    </row>
    <row r="75" spans="2:5">
      <c r="B75" s="103" t="s">
        <v>4</v>
      </c>
      <c r="C75" s="15" t="s">
        <v>67</v>
      </c>
      <c r="D75" s="79">
        <f>D74</f>
        <v>9149585.1899999995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107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19683.14</v>
      </c>
      <c r="E11" s="328">
        <f>E12</f>
        <v>0</v>
      </c>
    </row>
    <row r="12" spans="2:7">
      <c r="B12" s="107" t="s">
        <v>4</v>
      </c>
      <c r="C12" s="6" t="s">
        <v>5</v>
      </c>
      <c r="D12" s="261">
        <v>19683.14</v>
      </c>
      <c r="E12" s="260">
        <v>0</v>
      </c>
    </row>
    <row r="13" spans="2:7">
      <c r="B13" s="107" t="s">
        <v>6</v>
      </c>
      <c r="C13" s="69" t="s">
        <v>7</v>
      </c>
      <c r="D13" s="261"/>
      <c r="E13" s="260"/>
    </row>
    <row r="14" spans="2:7">
      <c r="B14" s="107" t="s">
        <v>8</v>
      </c>
      <c r="C14" s="69" t="s">
        <v>10</v>
      </c>
      <c r="D14" s="261"/>
      <c r="E14" s="260"/>
    </row>
    <row r="15" spans="2:7">
      <c r="B15" s="107" t="s">
        <v>182</v>
      </c>
      <c r="C15" s="69" t="s">
        <v>11</v>
      </c>
      <c r="D15" s="261"/>
      <c r="E15" s="260"/>
    </row>
    <row r="16" spans="2:7">
      <c r="B16" s="108" t="s">
        <v>183</v>
      </c>
      <c r="C16" s="92" t="s">
        <v>12</v>
      </c>
      <c r="D16" s="263"/>
      <c r="E16" s="228"/>
    </row>
    <row r="17" spans="2:6">
      <c r="B17" s="9" t="s">
        <v>13</v>
      </c>
      <c r="C17" s="11" t="s">
        <v>65</v>
      </c>
      <c r="D17" s="296"/>
      <c r="E17" s="225"/>
    </row>
    <row r="18" spans="2:6">
      <c r="B18" s="107" t="s">
        <v>4</v>
      </c>
      <c r="C18" s="6" t="s">
        <v>11</v>
      </c>
      <c r="D18" s="261"/>
      <c r="E18" s="228"/>
    </row>
    <row r="19" spans="2:6" ht="15" customHeight="1">
      <c r="B19" s="107" t="s">
        <v>6</v>
      </c>
      <c r="C19" s="69" t="s">
        <v>184</v>
      </c>
      <c r="D19" s="261"/>
      <c r="E19" s="260"/>
    </row>
    <row r="20" spans="2:6" ht="13.5" thickBot="1">
      <c r="B20" s="109" t="s">
        <v>8</v>
      </c>
      <c r="C20" s="70" t="s">
        <v>14</v>
      </c>
      <c r="D20" s="267"/>
      <c r="E20" s="329"/>
    </row>
    <row r="21" spans="2:6" ht="13.5" thickBot="1">
      <c r="B21" s="364" t="s">
        <v>186</v>
      </c>
      <c r="C21" s="365"/>
      <c r="D21" s="269">
        <v>19683.14</v>
      </c>
      <c r="E21" s="22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15531.71</v>
      </c>
      <c r="E26" s="232">
        <f>D21</f>
        <v>19683.14</v>
      </c>
    </row>
    <row r="27" spans="2:6">
      <c r="B27" s="9" t="s">
        <v>17</v>
      </c>
      <c r="C27" s="10" t="s">
        <v>187</v>
      </c>
      <c r="D27" s="201">
        <v>2376.8399999999992</v>
      </c>
      <c r="E27" s="225">
        <f>E28-E32</f>
        <v>-19865.46</v>
      </c>
      <c r="F27" s="72"/>
    </row>
    <row r="28" spans="2:6">
      <c r="B28" s="9" t="s">
        <v>18</v>
      </c>
      <c r="C28" s="10" t="s">
        <v>19</v>
      </c>
      <c r="D28" s="201">
        <v>6548.49</v>
      </c>
      <c r="E28" s="226">
        <f>E29+E30+E31</f>
        <v>0</v>
      </c>
      <c r="F28" s="72"/>
    </row>
    <row r="29" spans="2:6">
      <c r="B29" s="105" t="s">
        <v>4</v>
      </c>
      <c r="C29" s="6" t="s">
        <v>20</v>
      </c>
      <c r="D29" s="202">
        <v>199.99</v>
      </c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6348.5</v>
      </c>
      <c r="E31" s="227"/>
      <c r="F31" s="72"/>
    </row>
    <row r="32" spans="2:6">
      <c r="B32" s="93" t="s">
        <v>23</v>
      </c>
      <c r="C32" s="11" t="s">
        <v>24</v>
      </c>
      <c r="D32" s="201">
        <v>4171.6500000000005</v>
      </c>
      <c r="E32" s="226">
        <f>E33+E35+E37+E39</f>
        <v>19865.46</v>
      </c>
      <c r="F32" s="72"/>
    </row>
    <row r="33" spans="2:6">
      <c r="B33" s="105" t="s">
        <v>4</v>
      </c>
      <c r="C33" s="6" t="s">
        <v>25</v>
      </c>
      <c r="D33" s="202"/>
      <c r="E33" s="227">
        <v>14134.91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23.99</v>
      </c>
      <c r="E35" s="227">
        <v>11.3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287.05</v>
      </c>
      <c r="E37" s="227">
        <v>244.42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3860.61</v>
      </c>
      <c r="E39" s="228">
        <v>5474.83</v>
      </c>
      <c r="F39" s="72"/>
    </row>
    <row r="40" spans="2:6" ht="13.5" thickBot="1">
      <c r="B40" s="98" t="s">
        <v>35</v>
      </c>
      <c r="C40" s="99" t="s">
        <v>36</v>
      </c>
      <c r="D40" s="204">
        <v>1774.59</v>
      </c>
      <c r="E40" s="233">
        <v>182.32</v>
      </c>
    </row>
    <row r="41" spans="2:6" ht="13.5" thickBot="1">
      <c r="B41" s="100" t="s">
        <v>37</v>
      </c>
      <c r="C41" s="101" t="s">
        <v>38</v>
      </c>
      <c r="D41" s="205">
        <v>19683.14</v>
      </c>
      <c r="E41" s="149" t="s">
        <v>206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112.1585</v>
      </c>
      <c r="E47" s="76">
        <v>127.97880000000001</v>
      </c>
    </row>
    <row r="48" spans="2:6">
      <c r="B48" s="124" t="s">
        <v>6</v>
      </c>
      <c r="C48" s="22" t="s">
        <v>41</v>
      </c>
      <c r="D48" s="207">
        <v>127.97880000000001</v>
      </c>
      <c r="E48" s="235"/>
    </row>
    <row r="49" spans="2:5">
      <c r="B49" s="121" t="s">
        <v>23</v>
      </c>
      <c r="C49" s="125" t="s">
        <v>189</v>
      </c>
      <c r="D49" s="208"/>
      <c r="E49" s="76"/>
    </row>
    <row r="50" spans="2:5">
      <c r="B50" s="103" t="s">
        <v>4</v>
      </c>
      <c r="C50" s="15" t="s">
        <v>40</v>
      </c>
      <c r="D50" s="206">
        <v>138.47999999999999</v>
      </c>
      <c r="E50" s="76">
        <v>153.80000000000001</v>
      </c>
    </row>
    <row r="51" spans="2:5">
      <c r="B51" s="103" t="s">
        <v>6</v>
      </c>
      <c r="C51" s="15" t="s">
        <v>190</v>
      </c>
      <c r="D51" s="209">
        <v>138.47999999999999</v>
      </c>
      <c r="E51" s="76">
        <v>137.28</v>
      </c>
    </row>
    <row r="52" spans="2:5">
      <c r="B52" s="103" t="s">
        <v>8</v>
      </c>
      <c r="C52" s="15" t="s">
        <v>191</v>
      </c>
      <c r="D52" s="209">
        <v>159.38999999999999</v>
      </c>
      <c r="E52" s="76">
        <v>161.94999999999999</v>
      </c>
    </row>
    <row r="53" spans="2:5" ht="12.75" customHeight="1" thickBot="1">
      <c r="B53" s="104" t="s">
        <v>9</v>
      </c>
      <c r="C53" s="17" t="s">
        <v>41</v>
      </c>
      <c r="D53" s="210">
        <v>153.80000000000001</v>
      </c>
      <c r="E53" s="238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6999999999999995" bottom="0.45" header="0.5" footer="0.5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112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413343.65</v>
      </c>
      <c r="E11" s="258">
        <f>E12</f>
        <v>256033.28</v>
      </c>
    </row>
    <row r="12" spans="2:7">
      <c r="B12" s="173" t="s">
        <v>4</v>
      </c>
      <c r="C12" s="174" t="s">
        <v>5</v>
      </c>
      <c r="D12" s="261">
        <v>413343.65</v>
      </c>
      <c r="E12" s="330">
        <f>259177.57-3144.29</f>
        <v>256033.28</v>
      </c>
    </row>
    <row r="13" spans="2:7">
      <c r="B13" s="173" t="s">
        <v>6</v>
      </c>
      <c r="C13" s="175" t="s">
        <v>7</v>
      </c>
      <c r="D13" s="261"/>
      <c r="E13" s="262"/>
    </row>
    <row r="14" spans="2:7">
      <c r="B14" s="173" t="s">
        <v>8</v>
      </c>
      <c r="C14" s="175" t="s">
        <v>10</v>
      </c>
      <c r="D14" s="261"/>
      <c r="E14" s="262"/>
    </row>
    <row r="15" spans="2:7">
      <c r="B15" s="173" t="s">
        <v>182</v>
      </c>
      <c r="C15" s="175" t="s">
        <v>11</v>
      </c>
      <c r="D15" s="261"/>
      <c r="E15" s="262"/>
    </row>
    <row r="16" spans="2:7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413343.65</v>
      </c>
      <c r="E21" s="149">
        <f>E11</f>
        <v>256033.28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1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453568.3</v>
      </c>
      <c r="E26" s="232">
        <f>D21</f>
        <v>413343.65</v>
      </c>
    </row>
    <row r="27" spans="2:6">
      <c r="B27" s="9" t="s">
        <v>17</v>
      </c>
      <c r="C27" s="10" t="s">
        <v>187</v>
      </c>
      <c r="D27" s="201">
        <v>-63047.06</v>
      </c>
      <c r="E27" s="225">
        <f>E28-E32</f>
        <v>-132114.89000000001</v>
      </c>
      <c r="F27" s="72"/>
    </row>
    <row r="28" spans="2:6">
      <c r="B28" s="9" t="s">
        <v>18</v>
      </c>
      <c r="C28" s="10" t="s">
        <v>19</v>
      </c>
      <c r="D28" s="201">
        <v>8209.83</v>
      </c>
      <c r="E28" s="226">
        <f>E29+E30+E31</f>
        <v>9803.1200000000008</v>
      </c>
      <c r="F28" s="72"/>
    </row>
    <row r="29" spans="2:6">
      <c r="B29" s="181" t="s">
        <v>4</v>
      </c>
      <c r="C29" s="174" t="s">
        <v>20</v>
      </c>
      <c r="D29" s="202">
        <v>8209.83</v>
      </c>
      <c r="E29" s="227">
        <v>9335.01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468.11</v>
      </c>
      <c r="F31" s="72"/>
    </row>
    <row r="32" spans="2:6">
      <c r="B32" s="93" t="s">
        <v>23</v>
      </c>
      <c r="C32" s="11" t="s">
        <v>24</v>
      </c>
      <c r="D32" s="201">
        <v>71256.89</v>
      </c>
      <c r="E32" s="226">
        <f>E33+E35+E37+E39</f>
        <v>141918.01</v>
      </c>
      <c r="F32" s="72"/>
    </row>
    <row r="33" spans="2:6">
      <c r="B33" s="181" t="s">
        <v>4</v>
      </c>
      <c r="C33" s="174" t="s">
        <v>25</v>
      </c>
      <c r="D33" s="202">
        <v>62475.69</v>
      </c>
      <c r="E33" s="227">
        <f>13092.81+3144.29</f>
        <v>16237.099999999999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425.15</v>
      </c>
      <c r="E35" s="227">
        <v>398.63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8356.0499999999993</v>
      </c>
      <c r="E37" s="227">
        <v>5768.42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119513.86</v>
      </c>
      <c r="F39" s="72"/>
    </row>
    <row r="40" spans="2:6" ht="13.5" thickBot="1">
      <c r="B40" s="98" t="s">
        <v>35</v>
      </c>
      <c r="C40" s="99" t="s">
        <v>36</v>
      </c>
      <c r="D40" s="204">
        <v>22822.41</v>
      </c>
      <c r="E40" s="233">
        <v>-25195.48</v>
      </c>
    </row>
    <row r="41" spans="2:6" ht="13.5" thickBot="1">
      <c r="B41" s="100" t="s">
        <v>37</v>
      </c>
      <c r="C41" s="101" t="s">
        <v>38</v>
      </c>
      <c r="D41" s="205">
        <v>413343.64999999997</v>
      </c>
      <c r="E41" s="149">
        <f>E26+E27+E40</f>
        <v>256033.28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3629.4175</v>
      </c>
      <c r="E47" s="74">
        <v>3149.7649000000001</v>
      </c>
    </row>
    <row r="48" spans="2:6">
      <c r="B48" s="124" t="s">
        <v>6</v>
      </c>
      <c r="C48" s="22" t="s">
        <v>41</v>
      </c>
      <c r="D48" s="207">
        <v>3149.7649000000001</v>
      </c>
      <c r="E48" s="331">
        <v>2130.0605999999998</v>
      </c>
    </row>
    <row r="49" spans="2:5">
      <c r="B49" s="121" t="s">
        <v>23</v>
      </c>
      <c r="C49" s="125" t="s">
        <v>189</v>
      </c>
      <c r="D49" s="208"/>
      <c r="E49" s="76"/>
    </row>
    <row r="50" spans="2:5">
      <c r="B50" s="103" t="s">
        <v>4</v>
      </c>
      <c r="C50" s="15" t="s">
        <v>40</v>
      </c>
      <c r="D50" s="206">
        <v>124.97</v>
      </c>
      <c r="E50" s="76">
        <v>131.22999999999999</v>
      </c>
    </row>
    <row r="51" spans="2:5">
      <c r="B51" s="103" t="s">
        <v>6</v>
      </c>
      <c r="C51" s="15" t="s">
        <v>190</v>
      </c>
      <c r="D51" s="209">
        <v>124.97</v>
      </c>
      <c r="E51" s="76">
        <v>119.06</v>
      </c>
    </row>
    <row r="52" spans="2:5">
      <c r="B52" s="103" t="s">
        <v>8</v>
      </c>
      <c r="C52" s="15" t="s">
        <v>191</v>
      </c>
      <c r="D52" s="209">
        <v>132.41</v>
      </c>
      <c r="E52" s="76">
        <v>134.88999999999999</v>
      </c>
    </row>
    <row r="53" spans="2:5" ht="13.5" customHeight="1" thickBot="1">
      <c r="B53" s="104" t="s">
        <v>9</v>
      </c>
      <c r="C53" s="17" t="s">
        <v>41</v>
      </c>
      <c r="D53" s="210">
        <v>131.22999999999999</v>
      </c>
      <c r="E53" s="332">
        <v>120.2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256033.28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256033.28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256033.28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256033.28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G81"/>
  <sheetViews>
    <sheetView zoomScale="80" zoomScaleNormal="80" workbookViewId="0">
      <selection activeCell="M27" sqref="M2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110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5593319.8600000003</v>
      </c>
      <c r="E11" s="258">
        <f>E12</f>
        <v>3068149.66</v>
      </c>
    </row>
    <row r="12" spans="2:7">
      <c r="B12" s="107" t="s">
        <v>4</v>
      </c>
      <c r="C12" s="6" t="s">
        <v>5</v>
      </c>
      <c r="D12" s="261">
        <v>5593319.8600000003</v>
      </c>
      <c r="E12" s="333">
        <v>3068149.66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5593319.8600000003</v>
      </c>
      <c r="E21" s="149">
        <f>E11</f>
        <v>3068149.66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6583875.2999999998</v>
      </c>
      <c r="E26" s="232">
        <f>D21</f>
        <v>5593319.8600000003</v>
      </c>
    </row>
    <row r="27" spans="2:6">
      <c r="B27" s="9" t="s">
        <v>17</v>
      </c>
      <c r="C27" s="10" t="s">
        <v>187</v>
      </c>
      <c r="D27" s="201">
        <v>-1159039.6499999999</v>
      </c>
      <c r="E27" s="225">
        <f>E28-E32</f>
        <v>-2517992.19</v>
      </c>
      <c r="F27" s="72"/>
    </row>
    <row r="28" spans="2:6">
      <c r="B28" s="9" t="s">
        <v>18</v>
      </c>
      <c r="C28" s="10" t="s">
        <v>19</v>
      </c>
      <c r="D28" s="201">
        <v>1762574.52</v>
      </c>
      <c r="E28" s="226">
        <f>E29+E30+E31</f>
        <v>248346.62</v>
      </c>
      <c r="F28" s="72"/>
    </row>
    <row r="29" spans="2:6">
      <c r="B29" s="105" t="s">
        <v>4</v>
      </c>
      <c r="C29" s="6" t="s">
        <v>20</v>
      </c>
      <c r="D29" s="202">
        <v>24569.69</v>
      </c>
      <c r="E29" s="227">
        <v>20130.43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1738004.83</v>
      </c>
      <c r="E31" s="227">
        <v>228216.19</v>
      </c>
      <c r="F31" s="72"/>
    </row>
    <row r="32" spans="2:6">
      <c r="B32" s="93" t="s">
        <v>23</v>
      </c>
      <c r="C32" s="11" t="s">
        <v>24</v>
      </c>
      <c r="D32" s="201">
        <v>2921614.17</v>
      </c>
      <c r="E32" s="226">
        <f>E33+E35+E37+E39</f>
        <v>2766338.81</v>
      </c>
      <c r="F32" s="72"/>
    </row>
    <row r="33" spans="2:6">
      <c r="B33" s="105" t="s">
        <v>4</v>
      </c>
      <c r="C33" s="6" t="s">
        <v>25</v>
      </c>
      <c r="D33" s="202">
        <v>1742763.46</v>
      </c>
      <c r="E33" s="227">
        <v>2048472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6130.3</v>
      </c>
      <c r="E35" s="227">
        <v>5918.94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106581.83</v>
      </c>
      <c r="E37" s="227">
        <v>82297.440000000002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1066138.58</v>
      </c>
      <c r="E39" s="228">
        <v>629650.43000000005</v>
      </c>
      <c r="F39" s="72"/>
    </row>
    <row r="40" spans="2:6" ht="13.5" thickBot="1">
      <c r="B40" s="98" t="s">
        <v>35</v>
      </c>
      <c r="C40" s="99" t="s">
        <v>36</v>
      </c>
      <c r="D40" s="204">
        <v>168484.21</v>
      </c>
      <c r="E40" s="233">
        <v>-7178.01</v>
      </c>
    </row>
    <row r="41" spans="2:6" ht="13.5" thickBot="1">
      <c r="B41" s="100" t="s">
        <v>37</v>
      </c>
      <c r="C41" s="101" t="s">
        <v>38</v>
      </c>
      <c r="D41" s="205">
        <v>5593319.8600000003</v>
      </c>
      <c r="E41" s="149">
        <f>E26+E27+E40</f>
        <v>3068149.6600000006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39962.8243</v>
      </c>
      <c r="E47" s="150">
        <v>33071.127899999999</v>
      </c>
    </row>
    <row r="48" spans="2:6">
      <c r="B48" s="124" t="s">
        <v>6</v>
      </c>
      <c r="C48" s="22" t="s">
        <v>41</v>
      </c>
      <c r="D48" s="207">
        <v>33071.127899999999</v>
      </c>
      <c r="E48" s="334">
        <v>18157.955000000002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164.75</v>
      </c>
      <c r="E50" s="150">
        <v>169.13</v>
      </c>
    </row>
    <row r="51" spans="2:5">
      <c r="B51" s="103" t="s">
        <v>6</v>
      </c>
      <c r="C51" s="15" t="s">
        <v>190</v>
      </c>
      <c r="D51" s="209">
        <v>164.75</v>
      </c>
      <c r="E51" s="76">
        <v>168.08</v>
      </c>
    </row>
    <row r="52" spans="2:5">
      <c r="B52" s="103" t="s">
        <v>8</v>
      </c>
      <c r="C52" s="15" t="s">
        <v>191</v>
      </c>
      <c r="D52" s="209">
        <v>169.17</v>
      </c>
      <c r="E52" s="76">
        <v>169.42</v>
      </c>
    </row>
    <row r="53" spans="2:5" ht="13.5" customHeight="1" thickBot="1">
      <c r="B53" s="104" t="s">
        <v>9</v>
      </c>
      <c r="C53" s="17" t="s">
        <v>41</v>
      </c>
      <c r="D53" s="210">
        <v>169.13</v>
      </c>
      <c r="E53" s="335">
        <v>168.97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3068149.66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3068149.66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3068149.66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3068149.66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 customHeight="1">
      <c r="B6" s="356" t="s">
        <v>108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 customHeight="1">
      <c r="B8" s="358" t="s">
        <v>18</v>
      </c>
      <c r="C8" s="358"/>
      <c r="D8" s="358"/>
      <c r="E8" s="358"/>
    </row>
    <row r="9" spans="2:7" ht="16.5" customHeight="1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326574.09000000003</v>
      </c>
      <c r="E11" s="232">
        <f>E12</f>
        <v>262373.64</v>
      </c>
    </row>
    <row r="12" spans="2:7">
      <c r="B12" s="173" t="s">
        <v>4</v>
      </c>
      <c r="C12" s="174" t="s">
        <v>5</v>
      </c>
      <c r="D12" s="261">
        <v>326574.09000000003</v>
      </c>
      <c r="E12" s="333">
        <v>262373.64</v>
      </c>
    </row>
    <row r="13" spans="2:7">
      <c r="B13" s="173" t="s">
        <v>6</v>
      </c>
      <c r="C13" s="175" t="s">
        <v>7</v>
      </c>
      <c r="D13" s="261"/>
      <c r="E13" s="262"/>
    </row>
    <row r="14" spans="2:7">
      <c r="B14" s="173" t="s">
        <v>8</v>
      </c>
      <c r="C14" s="175" t="s">
        <v>10</v>
      </c>
      <c r="D14" s="261"/>
      <c r="E14" s="262"/>
    </row>
    <row r="15" spans="2:7">
      <c r="B15" s="173" t="s">
        <v>182</v>
      </c>
      <c r="C15" s="175" t="s">
        <v>11</v>
      </c>
      <c r="D15" s="261"/>
      <c r="E15" s="262"/>
    </row>
    <row r="16" spans="2:7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customHeight="1" thickBot="1">
      <c r="B21" s="362" t="s">
        <v>186</v>
      </c>
      <c r="C21" s="374"/>
      <c r="D21" s="269">
        <v>326574.09000000003</v>
      </c>
      <c r="E21" s="149">
        <f>E11</f>
        <v>262373.64</v>
      </c>
      <c r="F21" s="78"/>
    </row>
    <row r="22" spans="2:6">
      <c r="B22" s="3"/>
      <c r="C22" s="7"/>
      <c r="D22" s="8"/>
      <c r="E22" s="8"/>
    </row>
    <row r="23" spans="2:6" ht="13.5" customHeight="1">
      <c r="B23" s="358" t="s">
        <v>180</v>
      </c>
      <c r="C23" s="358"/>
      <c r="D23" s="358"/>
      <c r="E23" s="358"/>
    </row>
    <row r="24" spans="2:6" ht="15.75" customHeight="1" thickBot="1">
      <c r="B24" s="357" t="s">
        <v>181</v>
      </c>
      <c r="C24" s="357"/>
      <c r="D24" s="357"/>
      <c r="E24" s="357"/>
    </row>
    <row r="25" spans="2:6" ht="13.5" thickBot="1">
      <c r="B25" s="211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365306.71</v>
      </c>
      <c r="E26" s="232">
        <f>D21</f>
        <v>326574.09000000003</v>
      </c>
    </row>
    <row r="27" spans="2:6">
      <c r="B27" s="9" t="s">
        <v>17</v>
      </c>
      <c r="C27" s="10" t="s">
        <v>187</v>
      </c>
      <c r="D27" s="201">
        <v>-42612.679999999993</v>
      </c>
      <c r="E27" s="225">
        <f>E28-E32</f>
        <v>-32135.510000000006</v>
      </c>
      <c r="F27" s="72"/>
    </row>
    <row r="28" spans="2:6">
      <c r="B28" s="9" t="s">
        <v>18</v>
      </c>
      <c r="C28" s="10" t="s">
        <v>19</v>
      </c>
      <c r="D28" s="201">
        <v>3017.39</v>
      </c>
      <c r="E28" s="226">
        <f>E29+E30+E31</f>
        <v>24364.649999999998</v>
      </c>
      <c r="F28" s="72"/>
    </row>
    <row r="29" spans="2:6">
      <c r="B29" s="181" t="s">
        <v>4</v>
      </c>
      <c r="C29" s="174" t="s">
        <v>20</v>
      </c>
      <c r="D29" s="202">
        <v>3017.39</v>
      </c>
      <c r="E29" s="227">
        <v>2953.64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>
        <v>21411.01</v>
      </c>
      <c r="F31" s="72"/>
    </row>
    <row r="32" spans="2:6">
      <c r="B32" s="93" t="s">
        <v>23</v>
      </c>
      <c r="C32" s="11" t="s">
        <v>24</v>
      </c>
      <c r="D32" s="201">
        <v>45630.069999999992</v>
      </c>
      <c r="E32" s="226">
        <f>E33+E35+E37+E39</f>
        <v>56500.160000000003</v>
      </c>
      <c r="F32" s="72"/>
    </row>
    <row r="33" spans="2:6">
      <c r="B33" s="181" t="s">
        <v>4</v>
      </c>
      <c r="C33" s="174" t="s">
        <v>25</v>
      </c>
      <c r="D33" s="202">
        <v>38536.879999999997</v>
      </c>
      <c r="E33" s="227">
        <v>28909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547.84</v>
      </c>
      <c r="E35" s="227">
        <v>601.42999999999995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6545.35</v>
      </c>
      <c r="E37" s="227">
        <v>5547.98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21441.75</v>
      </c>
      <c r="F39" s="72"/>
    </row>
    <row r="40" spans="2:6" ht="13.5" thickBot="1">
      <c r="B40" s="98" t="s">
        <v>35</v>
      </c>
      <c r="C40" s="99" t="s">
        <v>36</v>
      </c>
      <c r="D40" s="204">
        <v>3880.06</v>
      </c>
      <c r="E40" s="233">
        <v>-32064.94</v>
      </c>
    </row>
    <row r="41" spans="2:6" ht="13.5" thickBot="1">
      <c r="B41" s="100" t="s">
        <v>37</v>
      </c>
      <c r="C41" s="101" t="s">
        <v>38</v>
      </c>
      <c r="D41" s="205">
        <v>326574.09000000003</v>
      </c>
      <c r="E41" s="149">
        <f>E26+E27+E40</f>
        <v>262373.64</v>
      </c>
      <c r="F41" s="78"/>
    </row>
    <row r="42" spans="2:6">
      <c r="B42" s="94"/>
      <c r="C42" s="94"/>
      <c r="D42" s="95"/>
      <c r="E42" s="95"/>
      <c r="F42" s="78"/>
    </row>
    <row r="43" spans="2:6" ht="13.5" customHeight="1">
      <c r="B43" s="359" t="s">
        <v>60</v>
      </c>
      <c r="C43" s="359"/>
      <c r="D43" s="359"/>
      <c r="E43" s="359"/>
    </row>
    <row r="44" spans="2:6" ht="18" customHeight="1" thickBot="1">
      <c r="B44" s="357" t="s">
        <v>204</v>
      </c>
      <c r="C44" s="357"/>
      <c r="D44" s="357"/>
      <c r="E44" s="357"/>
    </row>
    <row r="45" spans="2:6" ht="13.5" thickBot="1">
      <c r="B45" s="89"/>
      <c r="C45" s="30" t="s">
        <v>39</v>
      </c>
      <c r="D45" s="71" t="s">
        <v>223</v>
      </c>
      <c r="E45" s="29" t="s">
        <v>226</v>
      </c>
    </row>
    <row r="46" spans="2:6">
      <c r="B46" s="13" t="s">
        <v>18</v>
      </c>
      <c r="C46" s="31" t="s">
        <v>188</v>
      </c>
      <c r="D46" s="218"/>
      <c r="E46" s="28"/>
    </row>
    <row r="47" spans="2:6">
      <c r="B47" s="103" t="s">
        <v>4</v>
      </c>
      <c r="C47" s="15" t="s">
        <v>40</v>
      </c>
      <c r="D47" s="206">
        <v>3518.6545000000001</v>
      </c>
      <c r="E47" s="236">
        <v>3113.1943999999999</v>
      </c>
    </row>
    <row r="48" spans="2:6">
      <c r="B48" s="124" t="s">
        <v>6</v>
      </c>
      <c r="C48" s="22" t="s">
        <v>41</v>
      </c>
      <c r="D48" s="207">
        <v>3113.1943999999999</v>
      </c>
      <c r="E48" s="336">
        <v>2799.8467999999998</v>
      </c>
    </row>
    <row r="49" spans="2:5">
      <c r="B49" s="121" t="s">
        <v>23</v>
      </c>
      <c r="C49" s="125" t="s">
        <v>189</v>
      </c>
      <c r="D49" s="208"/>
      <c r="E49" s="237"/>
    </row>
    <row r="50" spans="2:5">
      <c r="B50" s="103" t="s">
        <v>4</v>
      </c>
      <c r="C50" s="15" t="s">
        <v>40</v>
      </c>
      <c r="D50" s="206">
        <v>103.82</v>
      </c>
      <c r="E50" s="237">
        <v>104.9</v>
      </c>
    </row>
    <row r="51" spans="2:5">
      <c r="B51" s="103" t="s">
        <v>6</v>
      </c>
      <c r="C51" s="15" t="s">
        <v>190</v>
      </c>
      <c r="D51" s="209">
        <v>102.44</v>
      </c>
      <c r="E51" s="237">
        <v>93.17</v>
      </c>
    </row>
    <row r="52" spans="2:5">
      <c r="B52" s="103" t="s">
        <v>8</v>
      </c>
      <c r="C52" s="15" t="s">
        <v>191</v>
      </c>
      <c r="D52" s="209">
        <v>107.56</v>
      </c>
      <c r="E52" s="237">
        <v>108.51</v>
      </c>
    </row>
    <row r="53" spans="2:5" ht="12.75" customHeight="1" thickBot="1">
      <c r="B53" s="104" t="s">
        <v>9</v>
      </c>
      <c r="C53" s="17" t="s">
        <v>41</v>
      </c>
      <c r="D53" s="210">
        <v>104.9</v>
      </c>
      <c r="E53" s="335">
        <v>93.71</v>
      </c>
    </row>
    <row r="54" spans="2:5">
      <c r="B54" s="110"/>
      <c r="C54" s="111"/>
      <c r="D54" s="112"/>
      <c r="E54" s="112"/>
    </row>
    <row r="55" spans="2:5" ht="13.5" customHeight="1">
      <c r="B55" s="359" t="s">
        <v>62</v>
      </c>
      <c r="C55" s="359"/>
      <c r="D55" s="359"/>
      <c r="E55" s="359"/>
    </row>
    <row r="56" spans="2:5" ht="14.25" customHeight="1" thickBot="1">
      <c r="B56" s="357" t="s">
        <v>192</v>
      </c>
      <c r="C56" s="357"/>
      <c r="D56" s="357"/>
      <c r="E56" s="357"/>
    </row>
    <row r="57" spans="2:5" ht="23.25" customHeight="1" thickBot="1">
      <c r="B57" s="372" t="s">
        <v>42</v>
      </c>
      <c r="C57" s="37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262373.64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262373.64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262373.64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262373.64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109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784800.99</v>
      </c>
      <c r="E11" s="258">
        <f>E12</f>
        <v>411843.35</v>
      </c>
    </row>
    <row r="12" spans="2:7">
      <c r="B12" s="107" t="s">
        <v>4</v>
      </c>
      <c r="C12" s="6" t="s">
        <v>5</v>
      </c>
      <c r="D12" s="261">
        <v>784800.99</v>
      </c>
      <c r="E12" s="337">
        <v>411843.35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7">
      <c r="B17" s="9" t="s">
        <v>13</v>
      </c>
      <c r="C17" s="11" t="s">
        <v>65</v>
      </c>
      <c r="D17" s="296"/>
      <c r="E17" s="266"/>
    </row>
    <row r="18" spans="2:7">
      <c r="B18" s="107" t="s">
        <v>4</v>
      </c>
      <c r="C18" s="6" t="s">
        <v>11</v>
      </c>
      <c r="D18" s="261"/>
      <c r="E18" s="264"/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v>784800.99</v>
      </c>
      <c r="E21" s="149">
        <f>E11</f>
        <v>411843.35</v>
      </c>
      <c r="F21" s="78"/>
      <c r="G21" s="172"/>
    </row>
    <row r="22" spans="2:7">
      <c r="B22" s="3"/>
      <c r="C22" s="7"/>
      <c r="D22" s="8"/>
      <c r="E22" s="8"/>
    </row>
    <row r="23" spans="2:7" ht="13.5">
      <c r="B23" s="358" t="s">
        <v>180</v>
      </c>
      <c r="C23" s="366"/>
      <c r="D23" s="366"/>
      <c r="E23" s="366"/>
    </row>
    <row r="24" spans="2:7" ht="15.75" customHeight="1" thickBot="1">
      <c r="B24" s="357" t="s">
        <v>181</v>
      </c>
      <c r="C24" s="367"/>
      <c r="D24" s="367"/>
      <c r="E24" s="367"/>
    </row>
    <row r="25" spans="2:7" ht="13.5" thickBot="1">
      <c r="B25" s="89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2177830.7000000002</v>
      </c>
      <c r="E26" s="232">
        <f>D21</f>
        <v>784800.99</v>
      </c>
    </row>
    <row r="27" spans="2:7">
      <c r="B27" s="9" t="s">
        <v>17</v>
      </c>
      <c r="C27" s="10" t="s">
        <v>187</v>
      </c>
      <c r="D27" s="201">
        <v>-1572689.77</v>
      </c>
      <c r="E27" s="225">
        <f>E28-E32</f>
        <v>-278707.27</v>
      </c>
      <c r="F27" s="72"/>
    </row>
    <row r="28" spans="2:7">
      <c r="B28" s="9" t="s">
        <v>18</v>
      </c>
      <c r="C28" s="10" t="s">
        <v>19</v>
      </c>
      <c r="D28" s="201">
        <v>696672.27</v>
      </c>
      <c r="E28" s="226">
        <f>E29+E30+E31</f>
        <v>141092.54999999999</v>
      </c>
      <c r="F28" s="72"/>
    </row>
    <row r="29" spans="2:7">
      <c r="B29" s="105" t="s">
        <v>4</v>
      </c>
      <c r="C29" s="6" t="s">
        <v>20</v>
      </c>
      <c r="D29" s="202">
        <v>11678.25</v>
      </c>
      <c r="E29" s="227">
        <v>8867.08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684994.02</v>
      </c>
      <c r="E31" s="227">
        <v>132225.47</v>
      </c>
      <c r="F31" s="72"/>
    </row>
    <row r="32" spans="2:7">
      <c r="B32" s="93" t="s">
        <v>23</v>
      </c>
      <c r="C32" s="11" t="s">
        <v>24</v>
      </c>
      <c r="D32" s="201">
        <v>2269362.04</v>
      </c>
      <c r="E32" s="226">
        <f>E33+E35+E37+E39</f>
        <v>419799.82</v>
      </c>
      <c r="F32" s="72"/>
    </row>
    <row r="33" spans="2:6">
      <c r="B33" s="105" t="s">
        <v>4</v>
      </c>
      <c r="C33" s="6" t="s">
        <v>25</v>
      </c>
      <c r="D33" s="202">
        <v>458460.02</v>
      </c>
      <c r="E33" s="227">
        <v>90517.43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428.03</v>
      </c>
      <c r="E35" s="227">
        <v>302.52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23149.49</v>
      </c>
      <c r="E37" s="227">
        <v>8939.5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1787324.5</v>
      </c>
      <c r="E39" s="228">
        <v>320040.37</v>
      </c>
      <c r="F39" s="72"/>
    </row>
    <row r="40" spans="2:6" ht="13.5" thickBot="1">
      <c r="B40" s="98" t="s">
        <v>35</v>
      </c>
      <c r="C40" s="99" t="s">
        <v>36</v>
      </c>
      <c r="D40" s="204">
        <v>179660.06</v>
      </c>
      <c r="E40" s="233">
        <v>-94250.37</v>
      </c>
    </row>
    <row r="41" spans="2:6" ht="13.5" thickBot="1">
      <c r="B41" s="100" t="s">
        <v>37</v>
      </c>
      <c r="C41" s="101" t="s">
        <v>38</v>
      </c>
      <c r="D41" s="205">
        <v>784800.99000000022</v>
      </c>
      <c r="E41" s="149">
        <f>E26+E27+E40</f>
        <v>411843.35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16681.9663</v>
      </c>
      <c r="E47" s="150">
        <v>5562.4139999999998</v>
      </c>
    </row>
    <row r="48" spans="2:6">
      <c r="B48" s="124" t="s">
        <v>6</v>
      </c>
      <c r="C48" s="22" t="s">
        <v>41</v>
      </c>
      <c r="D48" s="207">
        <v>5562.4139999999998</v>
      </c>
      <c r="E48" s="334">
        <v>3541.8245000000002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130.55000000000001</v>
      </c>
      <c r="E50" s="150">
        <v>141.09</v>
      </c>
    </row>
    <row r="51" spans="2:5">
      <c r="B51" s="103" t="s">
        <v>6</v>
      </c>
      <c r="C51" s="15" t="s">
        <v>190</v>
      </c>
      <c r="D51" s="209">
        <v>130.25</v>
      </c>
      <c r="E51" s="76">
        <v>115.6</v>
      </c>
    </row>
    <row r="52" spans="2:5">
      <c r="B52" s="103" t="s">
        <v>8</v>
      </c>
      <c r="C52" s="15" t="s">
        <v>191</v>
      </c>
      <c r="D52" s="209">
        <v>151.9</v>
      </c>
      <c r="E52" s="76">
        <v>145.88999999999999</v>
      </c>
    </row>
    <row r="53" spans="2:5" ht="13.5" customHeight="1" thickBot="1">
      <c r="B53" s="104" t="s">
        <v>9</v>
      </c>
      <c r="C53" s="17" t="s">
        <v>41</v>
      </c>
      <c r="D53" s="210">
        <v>141.09</v>
      </c>
      <c r="E53" s="335">
        <v>116.28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411843.35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411843.35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411843.35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411843.35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282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16650722.060000001</v>
      </c>
      <c r="E11" s="258">
        <f>E12</f>
        <v>8316305.7400000002</v>
      </c>
    </row>
    <row r="12" spans="2:7">
      <c r="B12" s="173" t="s">
        <v>4</v>
      </c>
      <c r="C12" s="174" t="s">
        <v>5</v>
      </c>
      <c r="D12" s="261">
        <v>16650722.060000001</v>
      </c>
      <c r="E12" s="337">
        <v>8316305.7400000002</v>
      </c>
    </row>
    <row r="13" spans="2:7">
      <c r="B13" s="173" t="s">
        <v>6</v>
      </c>
      <c r="C13" s="175" t="s">
        <v>7</v>
      </c>
      <c r="D13" s="261"/>
      <c r="E13" s="262"/>
    </row>
    <row r="14" spans="2:7">
      <c r="B14" s="173" t="s">
        <v>8</v>
      </c>
      <c r="C14" s="175" t="s">
        <v>10</v>
      </c>
      <c r="D14" s="261"/>
      <c r="E14" s="262"/>
    </row>
    <row r="15" spans="2:7">
      <c r="B15" s="173" t="s">
        <v>182</v>
      </c>
      <c r="C15" s="175" t="s">
        <v>11</v>
      </c>
      <c r="D15" s="261"/>
      <c r="E15" s="262"/>
    </row>
    <row r="16" spans="2:7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16650722.060000001</v>
      </c>
      <c r="E21" s="149">
        <f>E12</f>
        <v>8316305.7400000002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1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31800525.960000001</v>
      </c>
      <c r="E26" s="232">
        <f>D21</f>
        <v>16650722.060000001</v>
      </c>
    </row>
    <row r="27" spans="2:6">
      <c r="B27" s="9" t="s">
        <v>17</v>
      </c>
      <c r="C27" s="10" t="s">
        <v>187</v>
      </c>
      <c r="D27" s="201">
        <v>-15764906.400000002</v>
      </c>
      <c r="E27" s="225">
        <f>E28-E32</f>
        <v>-8350410.830000001</v>
      </c>
      <c r="F27" s="72"/>
    </row>
    <row r="28" spans="2:6">
      <c r="B28" s="9" t="s">
        <v>18</v>
      </c>
      <c r="C28" s="10" t="s">
        <v>19</v>
      </c>
      <c r="D28" s="201">
        <v>4827888.0199999996</v>
      </c>
      <c r="E28" s="226">
        <f>E29+E30+E31</f>
        <v>766239.22000000009</v>
      </c>
      <c r="F28" s="72"/>
    </row>
    <row r="29" spans="2:6">
      <c r="B29" s="181" t="s">
        <v>4</v>
      </c>
      <c r="C29" s="174" t="s">
        <v>20</v>
      </c>
      <c r="D29" s="202">
        <v>831002.81</v>
      </c>
      <c r="E29" s="227">
        <v>21835.29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3996885.21</v>
      </c>
      <c r="E31" s="227">
        <v>744403.93</v>
      </c>
      <c r="F31" s="72"/>
    </row>
    <row r="32" spans="2:6">
      <c r="B32" s="93" t="s">
        <v>23</v>
      </c>
      <c r="C32" s="11" t="s">
        <v>24</v>
      </c>
      <c r="D32" s="201">
        <v>20592794.420000002</v>
      </c>
      <c r="E32" s="226">
        <f>E33+E35+E37+E39</f>
        <v>9116650.0500000007</v>
      </c>
      <c r="F32" s="72"/>
    </row>
    <row r="33" spans="2:6">
      <c r="B33" s="181" t="s">
        <v>4</v>
      </c>
      <c r="C33" s="174" t="s">
        <v>25</v>
      </c>
      <c r="D33" s="202">
        <v>10838368.710000001</v>
      </c>
      <c r="E33" s="227">
        <v>8574183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25575.03</v>
      </c>
      <c r="E35" s="227">
        <v>17239.46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391299.64</v>
      </c>
      <c r="E37" s="227">
        <v>219549.77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9337551.0399999991</v>
      </c>
      <c r="E39" s="228">
        <v>305677.82</v>
      </c>
      <c r="F39" s="72"/>
    </row>
    <row r="40" spans="2:6" ht="13.5" thickBot="1">
      <c r="B40" s="98" t="s">
        <v>35</v>
      </c>
      <c r="C40" s="99" t="s">
        <v>36</v>
      </c>
      <c r="D40" s="204">
        <v>615102.5</v>
      </c>
      <c r="E40" s="233">
        <v>15994.51</v>
      </c>
    </row>
    <row r="41" spans="2:6" ht="13.5" thickBot="1">
      <c r="B41" s="100" t="s">
        <v>37</v>
      </c>
      <c r="C41" s="101" t="s">
        <v>38</v>
      </c>
      <c r="D41" s="205">
        <v>16650722.059999999</v>
      </c>
      <c r="E41" s="149">
        <f>E26+E27+E40</f>
        <v>8316305.7399999993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210962.7568</v>
      </c>
      <c r="E47" s="150">
        <v>107625.3769</v>
      </c>
    </row>
    <row r="48" spans="2:6">
      <c r="B48" s="124" t="s">
        <v>6</v>
      </c>
      <c r="C48" s="22" t="s">
        <v>41</v>
      </c>
      <c r="D48" s="207">
        <v>107625.3769</v>
      </c>
      <c r="E48" s="334">
        <v>53663.972000000002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150.74</v>
      </c>
      <c r="E50" s="150">
        <v>154.71</v>
      </c>
    </row>
    <row r="51" spans="2:5">
      <c r="B51" s="103" t="s">
        <v>6</v>
      </c>
      <c r="C51" s="15" t="s">
        <v>190</v>
      </c>
      <c r="D51" s="209">
        <v>150.61000000000001</v>
      </c>
      <c r="E51" s="76">
        <v>154.15</v>
      </c>
    </row>
    <row r="52" spans="2:5">
      <c r="B52" s="103" t="s">
        <v>8</v>
      </c>
      <c r="C52" s="15" t="s">
        <v>191</v>
      </c>
      <c r="D52" s="209">
        <v>154.72</v>
      </c>
      <c r="E52" s="76">
        <v>155.4</v>
      </c>
    </row>
    <row r="53" spans="2:5" ht="12.75" customHeight="1" thickBot="1">
      <c r="B53" s="104" t="s">
        <v>9</v>
      </c>
      <c r="C53" s="17" t="s">
        <v>41</v>
      </c>
      <c r="D53" s="210">
        <v>154.71</v>
      </c>
      <c r="E53" s="335">
        <v>154.97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8316305.7400000002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8316305.7400000002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8316305.7400000002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8316305.7400000002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113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36238211.900000006</v>
      </c>
      <c r="E11" s="258">
        <f>E12</f>
        <v>24134390.370000001</v>
      </c>
    </row>
    <row r="12" spans="2:7">
      <c r="B12" s="107" t="s">
        <v>4</v>
      </c>
      <c r="C12" s="6" t="s">
        <v>5</v>
      </c>
      <c r="D12" s="261">
        <v>36238211.900000006</v>
      </c>
      <c r="E12" s="337">
        <f>24356834.61-222444.24</f>
        <v>24134390.370000001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36238211.900000006</v>
      </c>
      <c r="E21" s="149">
        <f>E11-E17</f>
        <v>24134390.370000001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48829406.219999999</v>
      </c>
      <c r="E26" s="232">
        <f>D21</f>
        <v>36238211.900000006</v>
      </c>
    </row>
    <row r="27" spans="2:6">
      <c r="B27" s="9" t="s">
        <v>17</v>
      </c>
      <c r="C27" s="10" t="s">
        <v>187</v>
      </c>
      <c r="D27" s="201">
        <v>-13995884.240000002</v>
      </c>
      <c r="E27" s="225">
        <f>E28-E32</f>
        <v>-12475662.939999999</v>
      </c>
      <c r="F27" s="72"/>
    </row>
    <row r="28" spans="2:6">
      <c r="B28" s="9" t="s">
        <v>18</v>
      </c>
      <c r="C28" s="10" t="s">
        <v>19</v>
      </c>
      <c r="D28" s="201">
        <v>1474010.03</v>
      </c>
      <c r="E28" s="226">
        <f>E29+E30+E31</f>
        <v>793024.23</v>
      </c>
      <c r="F28" s="72"/>
    </row>
    <row r="29" spans="2:6">
      <c r="B29" s="105" t="s">
        <v>4</v>
      </c>
      <c r="C29" s="6" t="s">
        <v>20</v>
      </c>
      <c r="D29" s="202"/>
      <c r="E29" s="227">
        <v>0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1474010.03</v>
      </c>
      <c r="E31" s="227">
        <v>793024.23</v>
      </c>
      <c r="F31" s="72"/>
    </row>
    <row r="32" spans="2:6">
      <c r="B32" s="93" t="s">
        <v>23</v>
      </c>
      <c r="C32" s="11" t="s">
        <v>24</v>
      </c>
      <c r="D32" s="201">
        <v>15469894.270000001</v>
      </c>
      <c r="E32" s="226">
        <f>E33+E35+E37+E39</f>
        <v>13268687.17</v>
      </c>
      <c r="F32" s="72"/>
    </row>
    <row r="33" spans="2:6">
      <c r="B33" s="105" t="s">
        <v>4</v>
      </c>
      <c r="C33" s="6" t="s">
        <v>25</v>
      </c>
      <c r="D33" s="202">
        <v>11413249.550000001</v>
      </c>
      <c r="E33" s="227">
        <f>11536915.53+89909.08</f>
        <v>11626824.609999999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45750.11</v>
      </c>
      <c r="E35" s="227">
        <v>54246.76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813667.72</v>
      </c>
      <c r="E37" s="227">
        <v>592008.57999999996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3197226.89</v>
      </c>
      <c r="E39" s="228">
        <v>995607.22</v>
      </c>
      <c r="F39" s="72"/>
    </row>
    <row r="40" spans="2:6" ht="13.5" thickBot="1">
      <c r="B40" s="98" t="s">
        <v>35</v>
      </c>
      <c r="C40" s="99" t="s">
        <v>36</v>
      </c>
      <c r="D40" s="204">
        <v>1404689.92</v>
      </c>
      <c r="E40" s="233">
        <v>371841.41</v>
      </c>
    </row>
    <row r="41" spans="2:6" ht="13.5" thickBot="1">
      <c r="B41" s="100" t="s">
        <v>37</v>
      </c>
      <c r="C41" s="101" t="s">
        <v>38</v>
      </c>
      <c r="D41" s="205">
        <v>36238211.899999999</v>
      </c>
      <c r="E41" s="149">
        <f>E26+E27+E40</f>
        <v>24134390.370000008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354632.91609999997</v>
      </c>
      <c r="E47" s="150">
        <v>254750.1715</v>
      </c>
    </row>
    <row r="48" spans="2:6">
      <c r="B48" s="124" t="s">
        <v>6</v>
      </c>
      <c r="C48" s="22" t="s">
        <v>41</v>
      </c>
      <c r="D48" s="207">
        <v>254750.1715</v>
      </c>
      <c r="E48" s="334">
        <v>167020.00255999999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137.69</v>
      </c>
      <c r="E50" s="150">
        <v>142.25</v>
      </c>
    </row>
    <row r="51" spans="2:5">
      <c r="B51" s="103" t="s">
        <v>6</v>
      </c>
      <c r="C51" s="15" t="s">
        <v>190</v>
      </c>
      <c r="D51" s="209">
        <v>137.32</v>
      </c>
      <c r="E51" s="76">
        <v>140.72999999999999</v>
      </c>
    </row>
    <row r="52" spans="2:5">
      <c r="B52" s="103" t="s">
        <v>8</v>
      </c>
      <c r="C52" s="15" t="s">
        <v>191</v>
      </c>
      <c r="D52" s="209">
        <v>142.34</v>
      </c>
      <c r="E52" s="76">
        <v>144.5</v>
      </c>
    </row>
    <row r="53" spans="2:5" ht="12.75" customHeight="1" thickBot="1">
      <c r="B53" s="104" t="s">
        <v>9</v>
      </c>
      <c r="C53" s="17" t="s">
        <v>41</v>
      </c>
      <c r="D53" s="210">
        <v>142.25</v>
      </c>
      <c r="E53" s="335">
        <v>144.5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24134390.370000001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24134390.370000001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24134390.370000001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24134390.370000001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  <c r="G4" s="172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111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177152.93999999997</v>
      </c>
      <c r="E11" s="258">
        <f>E12</f>
        <v>162660.99</v>
      </c>
    </row>
    <row r="12" spans="2:7">
      <c r="B12" s="107" t="s">
        <v>4</v>
      </c>
      <c r="C12" s="6" t="s">
        <v>5</v>
      </c>
      <c r="D12" s="261">
        <v>177152.93999999997</v>
      </c>
      <c r="E12" s="337">
        <f>165497.36-2836.37</f>
        <v>162660.99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177152.93999999997</v>
      </c>
      <c r="E21" s="149">
        <f>E12</f>
        <v>162660.99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282030.99</v>
      </c>
      <c r="E26" s="232">
        <f>D21</f>
        <v>177152.93999999997</v>
      </c>
    </row>
    <row r="27" spans="2:6">
      <c r="B27" s="9" t="s">
        <v>17</v>
      </c>
      <c r="C27" s="10" t="s">
        <v>187</v>
      </c>
      <c r="D27" s="201">
        <v>-135653.78</v>
      </c>
      <c r="E27" s="225">
        <f>E28-E32</f>
        <v>6567.4100000000035</v>
      </c>
      <c r="F27" s="72"/>
    </row>
    <row r="28" spans="2:6">
      <c r="B28" s="9" t="s">
        <v>18</v>
      </c>
      <c r="C28" s="10" t="s">
        <v>19</v>
      </c>
      <c r="D28" s="201">
        <v>67625.34</v>
      </c>
      <c r="E28" s="226">
        <f>E29+E30+E31</f>
        <v>36288.410000000003</v>
      </c>
      <c r="F28" s="72"/>
    </row>
    <row r="29" spans="2:6">
      <c r="B29" s="105" t="s">
        <v>4</v>
      </c>
      <c r="C29" s="6" t="s">
        <v>20</v>
      </c>
      <c r="D29" s="202">
        <v>11005.59</v>
      </c>
      <c r="E29" s="227">
        <v>3339.75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56619.75</v>
      </c>
      <c r="E31" s="227">
        <v>32948.660000000003</v>
      </c>
      <c r="F31" s="72"/>
    </row>
    <row r="32" spans="2:6">
      <c r="B32" s="93" t="s">
        <v>23</v>
      </c>
      <c r="C32" s="11" t="s">
        <v>24</v>
      </c>
      <c r="D32" s="201">
        <v>203279.12</v>
      </c>
      <c r="E32" s="226">
        <f>E33+E35+E37+E39</f>
        <v>29721</v>
      </c>
      <c r="F32" s="72"/>
    </row>
    <row r="33" spans="2:6">
      <c r="B33" s="105" t="s">
        <v>4</v>
      </c>
      <c r="C33" s="6" t="s">
        <v>25</v>
      </c>
      <c r="D33" s="202">
        <v>161226.95000000001</v>
      </c>
      <c r="E33" s="227">
        <f>24933.62+2830.45</f>
        <v>27764.07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311.11</v>
      </c>
      <c r="E35" s="227">
        <v>196.87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3700.48</v>
      </c>
      <c r="E37" s="227">
        <v>1760.06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38040.58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30775.73</v>
      </c>
      <c r="E40" s="233">
        <v>-21059.360000000001</v>
      </c>
    </row>
    <row r="41" spans="2:6" ht="13.5" thickBot="1">
      <c r="B41" s="100" t="s">
        <v>37</v>
      </c>
      <c r="C41" s="101" t="s">
        <v>38</v>
      </c>
      <c r="D41" s="205">
        <v>177152.94</v>
      </c>
      <c r="E41" s="149">
        <f>E26+E27+E40</f>
        <v>162660.99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3066.5542</v>
      </c>
      <c r="E47" s="150">
        <v>1739.3514</v>
      </c>
    </row>
    <row r="48" spans="2:6">
      <c r="B48" s="124" t="s">
        <v>6</v>
      </c>
      <c r="C48" s="22" t="s">
        <v>41</v>
      </c>
      <c r="D48" s="207">
        <v>1739.3514</v>
      </c>
      <c r="E48" s="334">
        <v>1798.3525999999999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91.97</v>
      </c>
      <c r="E50" s="150">
        <v>101.85</v>
      </c>
    </row>
    <row r="51" spans="2:5">
      <c r="B51" s="103" t="s">
        <v>6</v>
      </c>
      <c r="C51" s="15" t="s">
        <v>190</v>
      </c>
      <c r="D51" s="209">
        <v>91.97</v>
      </c>
      <c r="E51" s="150">
        <v>86.73</v>
      </c>
    </row>
    <row r="52" spans="2:5">
      <c r="B52" s="103" t="s">
        <v>8</v>
      </c>
      <c r="C52" s="15" t="s">
        <v>191</v>
      </c>
      <c r="D52" s="209">
        <v>105.63</v>
      </c>
      <c r="E52" s="76">
        <v>107.29</v>
      </c>
    </row>
    <row r="53" spans="2:5" ht="13.5" customHeight="1" thickBot="1">
      <c r="B53" s="104" t="s">
        <v>9</v>
      </c>
      <c r="C53" s="17" t="s">
        <v>41</v>
      </c>
      <c r="D53" s="210">
        <v>101.85</v>
      </c>
      <c r="E53" s="335">
        <v>90.45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162660.99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162660.99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162660.99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162660.99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5.5703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21" customHeight="1">
      <c r="B5" s="355" t="s">
        <v>1</v>
      </c>
      <c r="C5" s="355"/>
      <c r="D5" s="355"/>
      <c r="E5" s="355"/>
    </row>
    <row r="6" spans="2:8" ht="14.25">
      <c r="B6" s="356" t="s">
        <v>289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29" t="s">
        <v>185</v>
      </c>
      <c r="D11" s="257">
        <v>69417283.620000005</v>
      </c>
      <c r="E11" s="258">
        <f>E12+E13+E14</f>
        <v>66291035.709999993</v>
      </c>
    </row>
    <row r="12" spans="2:8">
      <c r="B12" s="107" t="s">
        <v>4</v>
      </c>
      <c r="C12" s="6" t="s">
        <v>5</v>
      </c>
      <c r="D12" s="261">
        <v>69260125.400000006</v>
      </c>
      <c r="E12" s="262">
        <f>68218746.86-2137700.77</f>
        <v>66081046.089999996</v>
      </c>
    </row>
    <row r="13" spans="2:8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v>157158.22</v>
      </c>
      <c r="E14" s="262">
        <f>E15</f>
        <v>209989.62</v>
      </c>
    </row>
    <row r="15" spans="2:8">
      <c r="B15" s="107" t="s">
        <v>182</v>
      </c>
      <c r="C15" s="69" t="s">
        <v>11</v>
      </c>
      <c r="D15" s="261">
        <v>157158.22</v>
      </c>
      <c r="E15" s="262">
        <v>209989.62</v>
      </c>
    </row>
    <row r="16" spans="2:8">
      <c r="B16" s="108" t="s">
        <v>183</v>
      </c>
      <c r="C16" s="92" t="s">
        <v>12</v>
      </c>
      <c r="D16" s="263"/>
      <c r="E16" s="264"/>
    </row>
    <row r="17" spans="2:7">
      <c r="B17" s="9" t="s">
        <v>13</v>
      </c>
      <c r="C17" s="11" t="s">
        <v>65</v>
      </c>
      <c r="D17" s="296">
        <v>94145.25</v>
      </c>
      <c r="E17" s="266">
        <f>SUM(E18:E19)</f>
        <v>97365.56</v>
      </c>
    </row>
    <row r="18" spans="2:7">
      <c r="B18" s="107" t="s">
        <v>4</v>
      </c>
      <c r="C18" s="6" t="s">
        <v>11</v>
      </c>
      <c r="D18" s="261">
        <v>94145.25</v>
      </c>
      <c r="E18" s="264">
        <v>97365.56</v>
      </c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customHeight="1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v>69323138.370000005</v>
      </c>
      <c r="E21" s="149">
        <f>E11-E17</f>
        <v>66193670.149999991</v>
      </c>
      <c r="F21" s="78"/>
      <c r="G21" s="68"/>
    </row>
    <row r="22" spans="2:7">
      <c r="B22" s="3"/>
      <c r="C22" s="7"/>
      <c r="D22" s="8"/>
      <c r="E22" s="8"/>
    </row>
    <row r="23" spans="2:7" ht="13.5">
      <c r="B23" s="358" t="s">
        <v>180</v>
      </c>
      <c r="C23" s="366"/>
      <c r="D23" s="366"/>
      <c r="E23" s="366"/>
    </row>
    <row r="24" spans="2:7" ht="15.75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63960109.850000001</v>
      </c>
      <c r="E26" s="232">
        <f>D21</f>
        <v>69323138.370000005</v>
      </c>
    </row>
    <row r="27" spans="2:7">
      <c r="B27" s="9" t="s">
        <v>17</v>
      </c>
      <c r="C27" s="10" t="s">
        <v>187</v>
      </c>
      <c r="D27" s="201">
        <v>3919437.7199999969</v>
      </c>
      <c r="E27" s="225">
        <f>E28-E32</f>
        <v>-2710257.4299999997</v>
      </c>
      <c r="F27" s="72"/>
    </row>
    <row r="28" spans="2:7">
      <c r="B28" s="9" t="s">
        <v>18</v>
      </c>
      <c r="C28" s="10" t="s">
        <v>19</v>
      </c>
      <c r="D28" s="201">
        <v>15673701.239999998</v>
      </c>
      <c r="E28" s="226">
        <v>11392869.83</v>
      </c>
      <c r="F28" s="72"/>
    </row>
    <row r="29" spans="2:7">
      <c r="B29" s="105" t="s">
        <v>4</v>
      </c>
      <c r="C29" s="6" t="s">
        <v>20</v>
      </c>
      <c r="D29" s="202">
        <v>11359806.529999999</v>
      </c>
      <c r="E29" s="227">
        <v>9930799.7699999996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4313894.71</v>
      </c>
      <c r="E31" s="227">
        <v>1462070.0599999998</v>
      </c>
      <c r="F31" s="72"/>
    </row>
    <row r="32" spans="2:7">
      <c r="B32" s="93" t="s">
        <v>23</v>
      </c>
      <c r="C32" s="11" t="s">
        <v>24</v>
      </c>
      <c r="D32" s="201">
        <v>11754263.520000001</v>
      </c>
      <c r="E32" s="226">
        <f>SUM(E33:E39)</f>
        <v>14103127.26</v>
      </c>
      <c r="F32" s="72"/>
    </row>
    <row r="33" spans="2:6">
      <c r="B33" s="105" t="s">
        <v>4</v>
      </c>
      <c r="C33" s="6" t="s">
        <v>25</v>
      </c>
      <c r="D33" s="202">
        <v>9168425.2200000007</v>
      </c>
      <c r="E33" s="227">
        <f>10851443.69+726053.52</f>
        <v>11577497.209999999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1316152.56</v>
      </c>
      <c r="E35" s="227">
        <v>1266306.8899999999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1269685.74</v>
      </c>
      <c r="E39" s="228">
        <v>1259323.1599999999</v>
      </c>
      <c r="F39" s="72"/>
    </row>
    <row r="40" spans="2:6" ht="13.5" thickBot="1">
      <c r="B40" s="98" t="s">
        <v>35</v>
      </c>
      <c r="C40" s="99" t="s">
        <v>36</v>
      </c>
      <c r="D40" s="204">
        <v>1443590.8</v>
      </c>
      <c r="E40" s="233">
        <v>-419210.79</v>
      </c>
    </row>
    <row r="41" spans="2:6" ht="13.5" thickBot="1">
      <c r="B41" s="100" t="s">
        <v>37</v>
      </c>
      <c r="C41" s="101" t="s">
        <v>38</v>
      </c>
      <c r="D41" s="205">
        <v>69323138.36999999</v>
      </c>
      <c r="E41" s="149">
        <f>E26+E27+E40</f>
        <v>66193670.150000006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.7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218"/>
      <c r="E46" s="28"/>
    </row>
    <row r="47" spans="2:6">
      <c r="B47" s="103" t="s">
        <v>4</v>
      </c>
      <c r="C47" s="15" t="s">
        <v>40</v>
      </c>
      <c r="D47" s="206">
        <v>1421442.5252239953</v>
      </c>
      <c r="E47" s="74">
        <v>1508445.1646</v>
      </c>
    </row>
    <row r="48" spans="2:6">
      <c r="B48" s="124" t="s">
        <v>6</v>
      </c>
      <c r="C48" s="22" t="s">
        <v>41</v>
      </c>
      <c r="D48" s="207">
        <v>1508445.1646</v>
      </c>
      <c r="E48" s="292">
        <v>1448976.9515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44.996620485883497</v>
      </c>
      <c r="E50" s="74">
        <v>45.956684402908202</v>
      </c>
    </row>
    <row r="51" spans="2:5">
      <c r="B51" s="103" t="s">
        <v>6</v>
      </c>
      <c r="C51" s="15" t="s">
        <v>190</v>
      </c>
      <c r="D51" s="206">
        <v>44.996600000000001</v>
      </c>
      <c r="E51" s="74">
        <v>45.57</v>
      </c>
    </row>
    <row r="52" spans="2:5">
      <c r="B52" s="103" t="s">
        <v>8</v>
      </c>
      <c r="C52" s="15" t="s">
        <v>191</v>
      </c>
      <c r="D52" s="294">
        <v>45.979500000000002</v>
      </c>
      <c r="E52" s="76">
        <v>46.025700000000001</v>
      </c>
    </row>
    <row r="53" spans="2:5" ht="13.5" customHeight="1" thickBot="1">
      <c r="B53" s="104" t="s">
        <v>9</v>
      </c>
      <c r="C53" s="17" t="s">
        <v>41</v>
      </c>
      <c r="D53" s="210">
        <v>45.956684402908202</v>
      </c>
      <c r="E53" s="297">
        <v>45.683038699568002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66081046.090000004</v>
      </c>
      <c r="E58" s="32">
        <f>D58/E21</f>
        <v>0.9982985675254934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5.5">
      <c r="B60" s="14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67911389.54-2137700.77</f>
        <v>65773688.770000003</v>
      </c>
      <c r="E64" s="82">
        <f>D64/E21</f>
        <v>0.99365526372766044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307357.32</v>
      </c>
      <c r="E69" s="80">
        <f>D69/E21</f>
        <v>4.6433037978330025E-3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209989.62</v>
      </c>
      <c r="E72" s="120">
        <f>D72/E21</f>
        <v>3.1723519714822765E-3</v>
      </c>
    </row>
    <row r="73" spans="2:5">
      <c r="B73" s="23" t="s">
        <v>62</v>
      </c>
      <c r="C73" s="24" t="s">
        <v>65</v>
      </c>
      <c r="D73" s="25">
        <f>E17</f>
        <v>97365.56</v>
      </c>
      <c r="E73" s="26">
        <f>D73/E21</f>
        <v>1.4709194969754976E-3</v>
      </c>
    </row>
    <row r="74" spans="2:5">
      <c r="B74" s="121" t="s">
        <v>64</v>
      </c>
      <c r="C74" s="122" t="s">
        <v>66</v>
      </c>
      <c r="D74" s="123">
        <f>D58++D71+D72-D73</f>
        <v>66193670.149999999</v>
      </c>
      <c r="E74" s="67">
        <f>E58+E72-E73</f>
        <v>1.0000000000000002</v>
      </c>
    </row>
    <row r="75" spans="2:5">
      <c r="B75" s="14" t="s">
        <v>4</v>
      </c>
      <c r="C75" s="15" t="s">
        <v>67</v>
      </c>
      <c r="D75" s="79">
        <f>D74</f>
        <v>66193670.149999999</v>
      </c>
      <c r="E75" s="80">
        <f>E74</f>
        <v>1.0000000000000002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19"/>
      <c r="E78" s="219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177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57279.55</v>
      </c>
      <c r="E11" s="258">
        <f>E12</f>
        <v>48325.51</v>
      </c>
    </row>
    <row r="12" spans="2:7">
      <c r="B12" s="107" t="s">
        <v>4</v>
      </c>
      <c r="C12" s="6" t="s">
        <v>5</v>
      </c>
      <c r="D12" s="261">
        <v>57279.55</v>
      </c>
      <c r="E12" s="337">
        <v>48325.51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2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57279.55</v>
      </c>
      <c r="E21" s="149">
        <f>E11</f>
        <v>48325.51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267246.53000000003</v>
      </c>
      <c r="E26" s="232">
        <f>D21</f>
        <v>57279.55</v>
      </c>
    </row>
    <row r="27" spans="2:6">
      <c r="B27" s="9" t="s">
        <v>17</v>
      </c>
      <c r="C27" s="10" t="s">
        <v>187</v>
      </c>
      <c r="D27" s="201">
        <v>-224886.91</v>
      </c>
      <c r="E27" s="225">
        <f>E28-E32</f>
        <v>-1053.2</v>
      </c>
      <c r="F27" s="72"/>
    </row>
    <row r="28" spans="2:6">
      <c r="B28" s="9" t="s">
        <v>18</v>
      </c>
      <c r="C28" s="10" t="s">
        <v>19</v>
      </c>
      <c r="D28" s="201">
        <v>114555.6</v>
      </c>
      <c r="E28" s="226">
        <f>E29+E30+E31</f>
        <v>0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114555.6</v>
      </c>
      <c r="E31" s="227"/>
      <c r="F31" s="72"/>
    </row>
    <row r="32" spans="2:6">
      <c r="B32" s="93" t="s">
        <v>23</v>
      </c>
      <c r="C32" s="11" t="s">
        <v>24</v>
      </c>
      <c r="D32" s="201">
        <v>339442.51</v>
      </c>
      <c r="E32" s="226">
        <f>E33+E35+E37+E39</f>
        <v>1053.2</v>
      </c>
      <c r="F32" s="72"/>
    </row>
    <row r="33" spans="2:6">
      <c r="B33" s="105" t="s">
        <v>4</v>
      </c>
      <c r="C33" s="6" t="s">
        <v>25</v>
      </c>
      <c r="D33" s="202"/>
      <c r="E33" s="227"/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80.959999999999994</v>
      </c>
      <c r="E35" s="227">
        <v>85.18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1926.73</v>
      </c>
      <c r="E37" s="227">
        <v>968.02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337434.82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14919.93</v>
      </c>
      <c r="E40" s="233">
        <v>-7900.84</v>
      </c>
    </row>
    <row r="41" spans="2:6" ht="13.5" thickBot="1">
      <c r="B41" s="100" t="s">
        <v>37</v>
      </c>
      <c r="C41" s="101" t="s">
        <v>38</v>
      </c>
      <c r="D41" s="205">
        <v>57279.550000000025</v>
      </c>
      <c r="E41" s="149">
        <f>E26+E27+E40</f>
        <v>48325.510000000009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2383.7885000000001</v>
      </c>
      <c r="E47" s="150">
        <v>449.78050000000002</v>
      </c>
    </row>
    <row r="48" spans="2:6">
      <c r="B48" s="124" t="s">
        <v>6</v>
      </c>
      <c r="C48" s="22" t="s">
        <v>41</v>
      </c>
      <c r="D48" s="207">
        <v>449.78050000000002</v>
      </c>
      <c r="E48" s="334">
        <v>441.53050000000002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112.11</v>
      </c>
      <c r="E50" s="150">
        <v>127.35</v>
      </c>
    </row>
    <row r="51" spans="2:5">
      <c r="B51" s="103" t="s">
        <v>6</v>
      </c>
      <c r="C51" s="15" t="s">
        <v>190</v>
      </c>
      <c r="D51" s="209">
        <v>112.11</v>
      </c>
      <c r="E51" s="76">
        <v>108.04</v>
      </c>
    </row>
    <row r="52" spans="2:5">
      <c r="B52" s="103" t="s">
        <v>8</v>
      </c>
      <c r="C52" s="15" t="s">
        <v>191</v>
      </c>
      <c r="D52" s="209">
        <v>127.71</v>
      </c>
      <c r="E52" s="76">
        <v>133.47</v>
      </c>
    </row>
    <row r="53" spans="2:5" ht="12.75" customHeight="1" thickBot="1">
      <c r="B53" s="104" t="s">
        <v>9</v>
      </c>
      <c r="C53" s="17" t="s">
        <v>41</v>
      </c>
      <c r="D53" s="210">
        <v>127.35</v>
      </c>
      <c r="E53" s="335">
        <v>109.45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48325.51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48325.51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48325.51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48325.51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8"/>
      <c r="C4" s="88"/>
      <c r="D4" s="88"/>
      <c r="E4" s="88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199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89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219107</v>
      </c>
      <c r="E11" s="258">
        <f>E12</f>
        <v>121378.68</v>
      </c>
    </row>
    <row r="12" spans="2:7">
      <c r="B12" s="107" t="s">
        <v>4</v>
      </c>
      <c r="C12" s="6" t="s">
        <v>5</v>
      </c>
      <c r="D12" s="261">
        <v>219107</v>
      </c>
      <c r="E12" s="337">
        <v>121378.68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219107</v>
      </c>
      <c r="E21" s="149">
        <f>E11</f>
        <v>121378.68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480490.65</v>
      </c>
      <c r="E26" s="232">
        <f>D21</f>
        <v>219107</v>
      </c>
    </row>
    <row r="27" spans="2:6">
      <c r="B27" s="9" t="s">
        <v>17</v>
      </c>
      <c r="C27" s="10" t="s">
        <v>187</v>
      </c>
      <c r="D27" s="201">
        <v>-232097.11000000002</v>
      </c>
      <c r="E27" s="225">
        <f>E28-E32</f>
        <v>-82014.729999999981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140337.72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/>
      <c r="E31" s="227">
        <v>140337.72</v>
      </c>
      <c r="F31" s="72"/>
    </row>
    <row r="32" spans="2:6">
      <c r="B32" s="93" t="s">
        <v>23</v>
      </c>
      <c r="C32" s="11" t="s">
        <v>24</v>
      </c>
      <c r="D32" s="201">
        <v>232097.11000000002</v>
      </c>
      <c r="E32" s="226">
        <f>E33+E35+E37+E39</f>
        <v>222352.44999999998</v>
      </c>
      <c r="F32" s="72"/>
    </row>
    <row r="33" spans="2:6">
      <c r="B33" s="105" t="s">
        <v>4</v>
      </c>
      <c r="C33" s="6" t="s">
        <v>25</v>
      </c>
      <c r="D33" s="202">
        <v>153362.09</v>
      </c>
      <c r="E33" s="227"/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/>
      <c r="E35" s="227"/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5865.7</v>
      </c>
      <c r="E37" s="227">
        <v>1046.8699999999999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72869.320000000007</v>
      </c>
      <c r="E39" s="228">
        <v>221305.58</v>
      </c>
      <c r="F39" s="72"/>
    </row>
    <row r="40" spans="2:6" ht="13.5" thickBot="1">
      <c r="B40" s="98" t="s">
        <v>35</v>
      </c>
      <c r="C40" s="99" t="s">
        <v>36</v>
      </c>
      <c r="D40" s="204">
        <v>-29286.54</v>
      </c>
      <c r="E40" s="233">
        <v>-15713.59</v>
      </c>
    </row>
    <row r="41" spans="2:6" ht="13.5" thickBot="1">
      <c r="B41" s="100" t="s">
        <v>37</v>
      </c>
      <c r="C41" s="101" t="s">
        <v>38</v>
      </c>
      <c r="D41" s="205">
        <v>219107</v>
      </c>
      <c r="E41" s="149">
        <f>E26+E27+E40</f>
        <v>121378.68000000002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4594.4793</v>
      </c>
      <c r="E47" s="74">
        <v>2168.7321000000002</v>
      </c>
    </row>
    <row r="48" spans="2:6">
      <c r="B48" s="124" t="s">
        <v>6</v>
      </c>
      <c r="C48" s="22" t="s">
        <v>41</v>
      </c>
      <c r="D48" s="207">
        <v>2168.7321000000002</v>
      </c>
      <c r="E48" s="348">
        <v>1400.4694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104.58</v>
      </c>
      <c r="E50" s="76">
        <v>101.03</v>
      </c>
    </row>
    <row r="51" spans="2:5">
      <c r="B51" s="103" t="s">
        <v>6</v>
      </c>
      <c r="C51" s="15" t="s">
        <v>190</v>
      </c>
      <c r="D51" s="209">
        <v>92.99</v>
      </c>
      <c r="E51" s="76">
        <v>86.51</v>
      </c>
    </row>
    <row r="52" spans="2:5">
      <c r="B52" s="103" t="s">
        <v>8</v>
      </c>
      <c r="C52" s="15" t="s">
        <v>191</v>
      </c>
      <c r="D52" s="209">
        <v>105.92</v>
      </c>
      <c r="E52" s="76">
        <v>103.7</v>
      </c>
    </row>
    <row r="53" spans="2:5" ht="12.75" customHeight="1" thickBot="1">
      <c r="B53" s="104" t="s">
        <v>9</v>
      </c>
      <c r="C53" s="17" t="s">
        <v>41</v>
      </c>
      <c r="D53" s="210">
        <v>101.03</v>
      </c>
      <c r="E53" s="335">
        <v>86.67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121378.68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121378.68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121378.68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121378.68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148"/>
      <c r="C4" s="148"/>
      <c r="D4" s="148"/>
      <c r="E4" s="148"/>
    </row>
    <row r="5" spans="2:7" ht="14.25">
      <c r="B5" s="355" t="s">
        <v>1</v>
      </c>
      <c r="C5" s="355"/>
      <c r="D5" s="355"/>
      <c r="E5" s="355"/>
    </row>
    <row r="6" spans="2:7" ht="14.25">
      <c r="B6" s="356" t="s">
        <v>232</v>
      </c>
      <c r="C6" s="356"/>
      <c r="D6" s="356"/>
      <c r="E6" s="356"/>
    </row>
    <row r="7" spans="2:7" ht="14.25">
      <c r="B7" s="151"/>
      <c r="C7" s="151"/>
      <c r="D7" s="151"/>
      <c r="E7" s="151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152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318">
        <v>46995.21</v>
      </c>
      <c r="E11" s="258">
        <f>E12</f>
        <v>35242.28</v>
      </c>
    </row>
    <row r="12" spans="2:7">
      <c r="B12" s="107" t="s">
        <v>4</v>
      </c>
      <c r="C12" s="6" t="s">
        <v>5</v>
      </c>
      <c r="D12" s="313">
        <v>46995.21</v>
      </c>
      <c r="E12" s="337">
        <v>35242.28</v>
      </c>
    </row>
    <row r="13" spans="2:7">
      <c r="B13" s="107" t="s">
        <v>6</v>
      </c>
      <c r="C13" s="69" t="s">
        <v>7</v>
      </c>
      <c r="D13" s="313"/>
      <c r="E13" s="262"/>
    </row>
    <row r="14" spans="2:7">
      <c r="B14" s="107" t="s">
        <v>8</v>
      </c>
      <c r="C14" s="69" t="s">
        <v>10</v>
      </c>
      <c r="D14" s="313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46995.21</v>
      </c>
      <c r="E21" s="149">
        <f>E11</f>
        <v>35242.28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52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37539.24</v>
      </c>
      <c r="E26" s="232">
        <f>D21</f>
        <v>46995.21</v>
      </c>
    </row>
    <row r="27" spans="2:6">
      <c r="B27" s="9" t="s">
        <v>17</v>
      </c>
      <c r="C27" s="10" t="s">
        <v>187</v>
      </c>
      <c r="D27" s="201">
        <v>-767.14</v>
      </c>
      <c r="E27" s="225">
        <f>E28-E32</f>
        <v>-798.41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767.14</v>
      </c>
      <c r="E32" s="226">
        <f>E33+E35+E37+E39</f>
        <v>798.41</v>
      </c>
      <c r="F32" s="72"/>
    </row>
    <row r="33" spans="2:6">
      <c r="B33" s="105" t="s">
        <v>4</v>
      </c>
      <c r="C33" s="6" t="s">
        <v>25</v>
      </c>
      <c r="D33" s="202"/>
      <c r="E33" s="227"/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63.24</v>
      </c>
      <c r="E35" s="227">
        <v>61.55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703.9</v>
      </c>
      <c r="E37" s="227">
        <v>736.86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10223.11</v>
      </c>
      <c r="E40" s="233">
        <v>-10954.52</v>
      </c>
    </row>
    <row r="41" spans="2:6" ht="13.5" thickBot="1">
      <c r="B41" s="100" t="s">
        <v>37</v>
      </c>
      <c r="C41" s="101" t="s">
        <v>38</v>
      </c>
      <c r="D41" s="205">
        <v>46995.21</v>
      </c>
      <c r="E41" s="149">
        <f>E26+E27+E40</f>
        <v>35242.28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5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414.75240000000002</v>
      </c>
      <c r="E47" s="74">
        <v>407.37869999999998</v>
      </c>
    </row>
    <row r="48" spans="2:6">
      <c r="B48" s="124" t="s">
        <v>6</v>
      </c>
      <c r="C48" s="22" t="s">
        <v>41</v>
      </c>
      <c r="D48" s="207">
        <v>407.37869999999998</v>
      </c>
      <c r="E48" s="348">
        <v>399.93509999999998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90.51</v>
      </c>
      <c r="E50" s="76">
        <v>115.36</v>
      </c>
    </row>
    <row r="51" spans="2:5">
      <c r="B51" s="103" t="s">
        <v>6</v>
      </c>
      <c r="C51" s="15" t="s">
        <v>190</v>
      </c>
      <c r="D51" s="209">
        <v>90.51</v>
      </c>
      <c r="E51" s="76">
        <v>87.54</v>
      </c>
    </row>
    <row r="52" spans="2:5">
      <c r="B52" s="103" t="s">
        <v>8</v>
      </c>
      <c r="C52" s="15" t="s">
        <v>191</v>
      </c>
      <c r="D52" s="209">
        <v>115.92</v>
      </c>
      <c r="E52" s="76">
        <v>125.68</v>
      </c>
    </row>
    <row r="53" spans="2:5" ht="13.5" thickBot="1">
      <c r="B53" s="104" t="s">
        <v>9</v>
      </c>
      <c r="C53" s="17" t="s">
        <v>41</v>
      </c>
      <c r="D53" s="210">
        <v>115.36</v>
      </c>
      <c r="E53" s="335">
        <v>88.12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35242.28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35242.28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35242.28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35242.28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148"/>
      <c r="C4" s="148"/>
      <c r="D4" s="148"/>
      <c r="E4" s="148"/>
    </row>
    <row r="5" spans="2:7" ht="14.25">
      <c r="B5" s="355" t="s">
        <v>1</v>
      </c>
      <c r="C5" s="355"/>
      <c r="D5" s="355"/>
      <c r="E5" s="355"/>
    </row>
    <row r="6" spans="2:7" ht="14.25">
      <c r="B6" s="356" t="s">
        <v>231</v>
      </c>
      <c r="C6" s="356"/>
      <c r="D6" s="356"/>
      <c r="E6" s="356"/>
    </row>
    <row r="7" spans="2:7" ht="14.25">
      <c r="B7" s="151"/>
      <c r="C7" s="151"/>
      <c r="D7" s="151"/>
      <c r="E7" s="151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152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124639.38</v>
      </c>
      <c r="E11" s="258">
        <f>E12</f>
        <v>268396.09000000003</v>
      </c>
      <c r="F11" s="172"/>
    </row>
    <row r="12" spans="2:7">
      <c r="B12" s="173" t="s">
        <v>4</v>
      </c>
      <c r="C12" s="174" t="s">
        <v>5</v>
      </c>
      <c r="D12" s="261">
        <v>124639.38</v>
      </c>
      <c r="E12" s="337">
        <f>268562.21-166.12</f>
        <v>268396.09000000003</v>
      </c>
      <c r="F12" s="172"/>
    </row>
    <row r="13" spans="2:7">
      <c r="B13" s="173" t="s">
        <v>6</v>
      </c>
      <c r="C13" s="175" t="s">
        <v>7</v>
      </c>
      <c r="D13" s="261"/>
      <c r="E13" s="262"/>
      <c r="F13" s="172"/>
    </row>
    <row r="14" spans="2:7">
      <c r="B14" s="173" t="s">
        <v>8</v>
      </c>
      <c r="C14" s="175" t="s">
        <v>10</v>
      </c>
      <c r="D14" s="261"/>
      <c r="E14" s="262"/>
      <c r="F14" s="172"/>
    </row>
    <row r="15" spans="2:7">
      <c r="B15" s="173" t="s">
        <v>182</v>
      </c>
      <c r="C15" s="175" t="s">
        <v>11</v>
      </c>
      <c r="D15" s="261"/>
      <c r="E15" s="262"/>
      <c r="F15" s="172"/>
    </row>
    <row r="16" spans="2:7">
      <c r="B16" s="176" t="s">
        <v>183</v>
      </c>
      <c r="C16" s="177" t="s">
        <v>12</v>
      </c>
      <c r="D16" s="263"/>
      <c r="E16" s="264"/>
      <c r="F16" s="172"/>
    </row>
    <row r="17" spans="2:6">
      <c r="B17" s="9" t="s">
        <v>13</v>
      </c>
      <c r="C17" s="11" t="s">
        <v>65</v>
      </c>
      <c r="D17" s="296"/>
      <c r="E17" s="266"/>
      <c r="F17" s="172"/>
    </row>
    <row r="18" spans="2:6">
      <c r="B18" s="173" t="s">
        <v>4</v>
      </c>
      <c r="C18" s="174" t="s">
        <v>11</v>
      </c>
      <c r="D18" s="261"/>
      <c r="E18" s="264"/>
      <c r="F18" s="172"/>
    </row>
    <row r="19" spans="2:6" ht="15" customHeight="1">
      <c r="B19" s="173" t="s">
        <v>6</v>
      </c>
      <c r="C19" s="175" t="s">
        <v>184</v>
      </c>
      <c r="D19" s="261"/>
      <c r="E19" s="262"/>
      <c r="F19" s="172"/>
    </row>
    <row r="20" spans="2:6" ht="13.5" thickBot="1">
      <c r="B20" s="178" t="s">
        <v>8</v>
      </c>
      <c r="C20" s="179" t="s">
        <v>14</v>
      </c>
      <c r="D20" s="267"/>
      <c r="E20" s="268"/>
      <c r="F20" s="172"/>
    </row>
    <row r="21" spans="2:6" ht="13.5" thickBot="1">
      <c r="B21" s="364" t="s">
        <v>186</v>
      </c>
      <c r="C21" s="365"/>
      <c r="D21" s="269">
        <v>124639.38</v>
      </c>
      <c r="E21" s="149">
        <f>E11-E17</f>
        <v>268396.09000000003</v>
      </c>
      <c r="F21" s="153"/>
    </row>
    <row r="22" spans="2:6">
      <c r="B22" s="3"/>
      <c r="C22" s="7"/>
      <c r="D22" s="8"/>
      <c r="E22" s="8"/>
      <c r="F22" s="172"/>
    </row>
    <row r="23" spans="2:6" ht="13.5">
      <c r="B23" s="358" t="s">
        <v>180</v>
      </c>
      <c r="C23" s="368"/>
      <c r="D23" s="368"/>
      <c r="E23" s="368"/>
      <c r="F23" s="172"/>
    </row>
    <row r="24" spans="2:6" ht="15.75" customHeight="1" thickBot="1">
      <c r="B24" s="357" t="s">
        <v>181</v>
      </c>
      <c r="C24" s="369"/>
      <c r="D24" s="369"/>
      <c r="E24" s="369"/>
      <c r="F24" s="172"/>
    </row>
    <row r="25" spans="2:6" ht="13.5" thickBot="1">
      <c r="B25" s="170"/>
      <c r="C25" s="180" t="s">
        <v>2</v>
      </c>
      <c r="D25" s="71" t="s">
        <v>223</v>
      </c>
      <c r="E25" s="29" t="s">
        <v>267</v>
      </c>
      <c r="F25" s="172"/>
    </row>
    <row r="26" spans="2:6">
      <c r="B26" s="96" t="s">
        <v>15</v>
      </c>
      <c r="C26" s="97" t="s">
        <v>16</v>
      </c>
      <c r="D26" s="200">
        <v>14479.4</v>
      </c>
      <c r="E26" s="232">
        <f>D21</f>
        <v>124639.38</v>
      </c>
      <c r="F26" s="172"/>
    </row>
    <row r="27" spans="2:6">
      <c r="B27" s="9" t="s">
        <v>17</v>
      </c>
      <c r="C27" s="10" t="s">
        <v>187</v>
      </c>
      <c r="D27" s="201">
        <v>104262.73999999999</v>
      </c>
      <c r="E27" s="225">
        <f>E28-E32</f>
        <v>175773.52999999997</v>
      </c>
      <c r="F27" s="153"/>
    </row>
    <row r="28" spans="2:6">
      <c r="B28" s="9" t="s">
        <v>18</v>
      </c>
      <c r="C28" s="10" t="s">
        <v>19</v>
      </c>
      <c r="D28" s="201">
        <v>116220.84999999999</v>
      </c>
      <c r="E28" s="226">
        <f>E29+E30+E31</f>
        <v>265679.84999999998</v>
      </c>
      <c r="F28" s="153"/>
    </row>
    <row r="29" spans="2:6">
      <c r="B29" s="181" t="s">
        <v>4</v>
      </c>
      <c r="C29" s="174" t="s">
        <v>20</v>
      </c>
      <c r="D29" s="202">
        <v>105805.93</v>
      </c>
      <c r="E29" s="227">
        <v>174536.4</v>
      </c>
      <c r="F29" s="153"/>
    </row>
    <row r="30" spans="2:6">
      <c r="B30" s="181" t="s">
        <v>6</v>
      </c>
      <c r="C30" s="174" t="s">
        <v>21</v>
      </c>
      <c r="D30" s="202"/>
      <c r="E30" s="227"/>
      <c r="F30" s="153"/>
    </row>
    <row r="31" spans="2:6">
      <c r="B31" s="181" t="s">
        <v>8</v>
      </c>
      <c r="C31" s="174" t="s">
        <v>22</v>
      </c>
      <c r="D31" s="202">
        <v>10414.92</v>
      </c>
      <c r="E31" s="227">
        <v>91143.45</v>
      </c>
      <c r="F31" s="153"/>
    </row>
    <row r="32" spans="2:6">
      <c r="B32" s="93" t="s">
        <v>23</v>
      </c>
      <c r="C32" s="11" t="s">
        <v>24</v>
      </c>
      <c r="D32" s="201">
        <v>11958.11</v>
      </c>
      <c r="E32" s="226">
        <f>E33+E35+E37+E39</f>
        <v>89906.320000000022</v>
      </c>
      <c r="F32" s="153"/>
    </row>
    <row r="33" spans="2:6">
      <c r="B33" s="181" t="s">
        <v>4</v>
      </c>
      <c r="C33" s="174" t="s">
        <v>25</v>
      </c>
      <c r="D33" s="202">
        <v>3610.23</v>
      </c>
      <c r="E33" s="227">
        <f>75994.32-18.14</f>
        <v>75976.180000000008</v>
      </c>
      <c r="F33" s="153"/>
    </row>
    <row r="34" spans="2:6">
      <c r="B34" s="181" t="s">
        <v>6</v>
      </c>
      <c r="C34" s="174" t="s">
        <v>26</v>
      </c>
      <c r="D34" s="202"/>
      <c r="E34" s="227"/>
      <c r="F34" s="153"/>
    </row>
    <row r="35" spans="2:6">
      <c r="B35" s="181" t="s">
        <v>8</v>
      </c>
      <c r="C35" s="174" t="s">
        <v>27</v>
      </c>
      <c r="D35" s="202">
        <v>6235.88</v>
      </c>
      <c r="E35" s="227">
        <v>10593.16</v>
      </c>
      <c r="F35" s="153"/>
    </row>
    <row r="36" spans="2:6">
      <c r="B36" s="181" t="s">
        <v>9</v>
      </c>
      <c r="C36" s="174" t="s">
        <v>28</v>
      </c>
      <c r="D36" s="202"/>
      <c r="E36" s="227"/>
      <c r="F36" s="153"/>
    </row>
    <row r="37" spans="2:6" ht="25.5">
      <c r="B37" s="181" t="s">
        <v>29</v>
      </c>
      <c r="C37" s="174" t="s">
        <v>30</v>
      </c>
      <c r="D37" s="202">
        <v>468.57</v>
      </c>
      <c r="E37" s="227">
        <v>1437.49</v>
      </c>
      <c r="F37" s="153"/>
    </row>
    <row r="38" spans="2:6">
      <c r="B38" s="181" t="s">
        <v>31</v>
      </c>
      <c r="C38" s="174" t="s">
        <v>32</v>
      </c>
      <c r="D38" s="202"/>
      <c r="E38" s="227"/>
      <c r="F38" s="153"/>
    </row>
    <row r="39" spans="2:6">
      <c r="B39" s="182" t="s">
        <v>33</v>
      </c>
      <c r="C39" s="183" t="s">
        <v>34</v>
      </c>
      <c r="D39" s="203">
        <v>1643.43</v>
      </c>
      <c r="E39" s="228">
        <v>1899.49</v>
      </c>
      <c r="F39" s="153"/>
    </row>
    <row r="40" spans="2:6" ht="13.5" thickBot="1">
      <c r="B40" s="98" t="s">
        <v>35</v>
      </c>
      <c r="C40" s="99" t="s">
        <v>36</v>
      </c>
      <c r="D40" s="204">
        <v>5897.24</v>
      </c>
      <c r="E40" s="233">
        <v>-32016.82</v>
      </c>
      <c r="F40" s="172"/>
    </row>
    <row r="41" spans="2:6" ht="13.5" thickBot="1">
      <c r="B41" s="100" t="s">
        <v>37</v>
      </c>
      <c r="C41" s="101" t="s">
        <v>38</v>
      </c>
      <c r="D41" s="205">
        <v>124639.37999999999</v>
      </c>
      <c r="E41" s="149">
        <f>E26+E27+E40</f>
        <v>268396.08999999997</v>
      </c>
      <c r="F41" s="153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5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129.4769</v>
      </c>
      <c r="E47" s="74">
        <v>1039.2677000000001</v>
      </c>
    </row>
    <row r="48" spans="2:6">
      <c r="B48" s="124" t="s">
        <v>6</v>
      </c>
      <c r="C48" s="22" t="s">
        <v>41</v>
      </c>
      <c r="D48" s="207">
        <v>1039.2677000000001</v>
      </c>
      <c r="E48" s="348">
        <v>2482.39077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111.83</v>
      </c>
      <c r="E50" s="76">
        <v>119.93</v>
      </c>
    </row>
    <row r="51" spans="2:5">
      <c r="B51" s="103" t="s">
        <v>6</v>
      </c>
      <c r="C51" s="15" t="s">
        <v>190</v>
      </c>
      <c r="D51" s="209">
        <v>110.1</v>
      </c>
      <c r="E51" s="76">
        <v>108.01</v>
      </c>
    </row>
    <row r="52" spans="2:5">
      <c r="B52" s="103" t="s">
        <v>8</v>
      </c>
      <c r="C52" s="15" t="s">
        <v>191</v>
      </c>
      <c r="D52" s="209">
        <v>121.39</v>
      </c>
      <c r="E52" s="76">
        <v>124.78</v>
      </c>
    </row>
    <row r="53" spans="2:5" ht="13.5" thickBot="1">
      <c r="B53" s="104" t="s">
        <v>9</v>
      </c>
      <c r="C53" s="17" t="s">
        <v>41</v>
      </c>
      <c r="D53" s="210">
        <v>119.93</v>
      </c>
      <c r="E53" s="335">
        <v>108.12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268396.09000000003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268396.09000000003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268396.09000000003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268396.09000000003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230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86900.800000000003</v>
      </c>
      <c r="E11" s="258">
        <f>E12</f>
        <v>116465.2</v>
      </c>
    </row>
    <row r="12" spans="2:5">
      <c r="B12" s="107" t="s">
        <v>4</v>
      </c>
      <c r="C12" s="6" t="s">
        <v>5</v>
      </c>
      <c r="D12" s="261">
        <v>86900.800000000003</v>
      </c>
      <c r="E12" s="337">
        <v>116465.2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86900.800000000003</v>
      </c>
      <c r="E21" s="149">
        <f>E11</f>
        <v>116465.2</v>
      </c>
      <c r="F21" s="78"/>
    </row>
    <row r="22" spans="2:6">
      <c r="B22" s="3"/>
      <c r="C22" s="7"/>
      <c r="D22" s="223"/>
      <c r="E22" s="223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65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36502.22</v>
      </c>
      <c r="E26" s="232">
        <f>D21</f>
        <v>86900.800000000003</v>
      </c>
    </row>
    <row r="27" spans="2:6">
      <c r="B27" s="9" t="s">
        <v>17</v>
      </c>
      <c r="C27" s="10" t="s">
        <v>187</v>
      </c>
      <c r="D27" s="201">
        <v>48552.65</v>
      </c>
      <c r="E27" s="225">
        <f>E28-E32</f>
        <v>32853.759999999995</v>
      </c>
      <c r="F27" s="72"/>
    </row>
    <row r="28" spans="2:6">
      <c r="B28" s="9" t="s">
        <v>18</v>
      </c>
      <c r="C28" s="10" t="s">
        <v>19</v>
      </c>
      <c r="D28" s="201">
        <v>52176.33</v>
      </c>
      <c r="E28" s="226">
        <f>E29+E30+E31</f>
        <v>42874.81</v>
      </c>
      <c r="F28" s="72"/>
    </row>
    <row r="29" spans="2:6">
      <c r="B29" s="105" t="s">
        <v>4</v>
      </c>
      <c r="C29" s="6" t="s">
        <v>20</v>
      </c>
      <c r="D29" s="202">
        <v>28964.05</v>
      </c>
      <c r="E29" s="227">
        <v>40779.769999999997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23212.28</v>
      </c>
      <c r="E31" s="227">
        <v>2095.04</v>
      </c>
      <c r="F31" s="72"/>
    </row>
    <row r="32" spans="2:6">
      <c r="B32" s="93" t="s">
        <v>23</v>
      </c>
      <c r="C32" s="11" t="s">
        <v>24</v>
      </c>
      <c r="D32" s="201">
        <v>3623.68</v>
      </c>
      <c r="E32" s="226">
        <f>E33+E35+E37+E39</f>
        <v>10021.049999999999</v>
      </c>
      <c r="F32" s="72"/>
    </row>
    <row r="33" spans="2:6">
      <c r="B33" s="105" t="s">
        <v>4</v>
      </c>
      <c r="C33" s="6" t="s">
        <v>25</v>
      </c>
      <c r="D33" s="202">
        <v>608.84</v>
      </c>
      <c r="E33" s="227">
        <v>3491.48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2276.9699999999998</v>
      </c>
      <c r="E35" s="227">
        <v>3771.18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367.16</v>
      </c>
      <c r="E37" s="227">
        <v>684.7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370.71</v>
      </c>
      <c r="E39" s="228">
        <v>2073.69</v>
      </c>
      <c r="F39" s="72"/>
    </row>
    <row r="40" spans="2:6" ht="13.5" thickBot="1">
      <c r="B40" s="98" t="s">
        <v>35</v>
      </c>
      <c r="C40" s="99" t="s">
        <v>36</v>
      </c>
      <c r="D40" s="204">
        <v>1845.93</v>
      </c>
      <c r="E40" s="233">
        <v>-3289.36</v>
      </c>
    </row>
    <row r="41" spans="2:6" ht="13.5" thickBot="1">
      <c r="B41" s="100" t="s">
        <v>37</v>
      </c>
      <c r="C41" s="101" t="s">
        <v>38</v>
      </c>
      <c r="D41" s="205">
        <v>86900.799999999988</v>
      </c>
      <c r="E41" s="149">
        <f>E26+E27+E40</f>
        <v>116465.2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6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354.35610000000003</v>
      </c>
      <c r="E47" s="74">
        <v>817.81290000000001</v>
      </c>
    </row>
    <row r="48" spans="2:6">
      <c r="B48" s="124" t="s">
        <v>6</v>
      </c>
      <c r="C48" s="22" t="s">
        <v>41</v>
      </c>
      <c r="D48" s="207">
        <v>817.81290000000001</v>
      </c>
      <c r="E48" s="348">
        <v>1128.1015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103.01</v>
      </c>
      <c r="E50" s="76">
        <v>106.26</v>
      </c>
    </row>
    <row r="51" spans="2:5">
      <c r="B51" s="103" t="s">
        <v>6</v>
      </c>
      <c r="C51" s="15" t="s">
        <v>190</v>
      </c>
      <c r="D51" s="209">
        <v>101.97</v>
      </c>
      <c r="E51" s="76">
        <v>103.22</v>
      </c>
    </row>
    <row r="52" spans="2:5">
      <c r="B52" s="103" t="s">
        <v>8</v>
      </c>
      <c r="C52" s="15" t="s">
        <v>191</v>
      </c>
      <c r="D52" s="209">
        <v>107.18</v>
      </c>
      <c r="E52" s="76">
        <v>107.7</v>
      </c>
    </row>
    <row r="53" spans="2:5" ht="13.5" thickBot="1">
      <c r="B53" s="104" t="s">
        <v>9</v>
      </c>
      <c r="C53" s="17" t="s">
        <v>41</v>
      </c>
      <c r="D53" s="210">
        <v>106.26</v>
      </c>
      <c r="E53" s="335">
        <v>103.24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116465.2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116465.2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116465.2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116465.2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229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293618.39</v>
      </c>
      <c r="E11" s="258">
        <f>E12</f>
        <v>321448.88</v>
      </c>
    </row>
    <row r="12" spans="2:5">
      <c r="B12" s="107" t="s">
        <v>4</v>
      </c>
      <c r="C12" s="6" t="s">
        <v>5</v>
      </c>
      <c r="D12" s="261">
        <v>293618.39</v>
      </c>
      <c r="E12" s="337">
        <v>321448.88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293618.39</v>
      </c>
      <c r="E21" s="149">
        <f>E11</f>
        <v>321448.88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65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8482.2099999999991</v>
      </c>
      <c r="E26" s="232">
        <f>D21</f>
        <v>293618.39</v>
      </c>
    </row>
    <row r="27" spans="2:6">
      <c r="B27" s="9" t="s">
        <v>17</v>
      </c>
      <c r="C27" s="10" t="s">
        <v>187</v>
      </c>
      <c r="D27" s="201">
        <v>276581.94</v>
      </c>
      <c r="E27" s="225">
        <f>E28-E32</f>
        <v>57393.119999999981</v>
      </c>
      <c r="F27" s="72"/>
    </row>
    <row r="28" spans="2:6">
      <c r="B28" s="9" t="s">
        <v>18</v>
      </c>
      <c r="C28" s="10" t="s">
        <v>19</v>
      </c>
      <c r="D28" s="201">
        <v>294626.59999999998</v>
      </c>
      <c r="E28" s="226">
        <f>E29+E30+E31</f>
        <v>182625.24</v>
      </c>
      <c r="F28" s="72"/>
    </row>
    <row r="29" spans="2:6">
      <c r="B29" s="105" t="s">
        <v>4</v>
      </c>
      <c r="C29" s="6" t="s">
        <v>20</v>
      </c>
      <c r="D29" s="202">
        <v>251847.34</v>
      </c>
      <c r="E29" s="227">
        <v>106035.72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42779.26</v>
      </c>
      <c r="E31" s="227">
        <v>76589.52</v>
      </c>
      <c r="F31" s="72"/>
    </row>
    <row r="32" spans="2:6">
      <c r="B32" s="93" t="s">
        <v>23</v>
      </c>
      <c r="C32" s="11" t="s">
        <v>24</v>
      </c>
      <c r="D32" s="201">
        <v>18044.66</v>
      </c>
      <c r="E32" s="226">
        <f>E33+E35+E37+E39</f>
        <v>125232.12000000001</v>
      </c>
      <c r="F32" s="72"/>
    </row>
    <row r="33" spans="2:6">
      <c r="B33" s="105" t="s">
        <v>4</v>
      </c>
      <c r="C33" s="6" t="s">
        <v>25</v>
      </c>
      <c r="D33" s="202">
        <v>13078.17</v>
      </c>
      <c r="E33" s="227">
        <v>73646.320000000007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3926.59</v>
      </c>
      <c r="E35" s="227">
        <v>6597.34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838.48</v>
      </c>
      <c r="E37" s="227">
        <v>2089.3000000000002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201.42</v>
      </c>
      <c r="E39" s="228">
        <v>42899.16</v>
      </c>
      <c r="F39" s="72"/>
    </row>
    <row r="40" spans="2:6" ht="13.5" thickBot="1">
      <c r="B40" s="98" t="s">
        <v>35</v>
      </c>
      <c r="C40" s="99" t="s">
        <v>36</v>
      </c>
      <c r="D40" s="204">
        <v>8554.24</v>
      </c>
      <c r="E40" s="233">
        <v>-29562.63</v>
      </c>
    </row>
    <row r="41" spans="2:6" ht="13.5" thickBot="1">
      <c r="B41" s="100" t="s">
        <v>37</v>
      </c>
      <c r="C41" s="101" t="s">
        <v>38</v>
      </c>
      <c r="D41" s="205">
        <v>293618.39</v>
      </c>
      <c r="E41" s="149">
        <f>E26+E27+E40</f>
        <v>321448.88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6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79.555499999999995</v>
      </c>
      <c r="E47" s="74">
        <v>2594.4895999999999</v>
      </c>
    </row>
    <row r="48" spans="2:6">
      <c r="B48" s="124" t="s">
        <v>6</v>
      </c>
      <c r="C48" s="22" t="s">
        <v>41</v>
      </c>
      <c r="D48" s="207">
        <v>2594.4895999999999</v>
      </c>
      <c r="E48" s="348">
        <v>3067.2602999999999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106.62</v>
      </c>
      <c r="E50" s="293">
        <v>113.17</v>
      </c>
    </row>
    <row r="51" spans="2:5">
      <c r="B51" s="103" t="s">
        <v>6</v>
      </c>
      <c r="C51" s="15" t="s">
        <v>190</v>
      </c>
      <c r="D51" s="209">
        <v>105.94</v>
      </c>
      <c r="E51" s="295">
        <v>104.8</v>
      </c>
    </row>
    <row r="52" spans="2:5">
      <c r="B52" s="103" t="s">
        <v>8</v>
      </c>
      <c r="C52" s="15" t="s">
        <v>191</v>
      </c>
      <c r="D52" s="209">
        <v>114.24</v>
      </c>
      <c r="E52" s="295">
        <v>116.63</v>
      </c>
    </row>
    <row r="53" spans="2:5" ht="13.5" thickBot="1">
      <c r="B53" s="104" t="s">
        <v>9</v>
      </c>
      <c r="C53" s="17" t="s">
        <v>41</v>
      </c>
      <c r="D53" s="210">
        <v>113.17</v>
      </c>
      <c r="E53" s="335">
        <v>104.8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321448.88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321448.88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321448.88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321448.88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148"/>
      <c r="C4" s="148"/>
      <c r="D4" s="148"/>
      <c r="E4" s="148"/>
    </row>
    <row r="5" spans="2:7" ht="14.25">
      <c r="B5" s="355" t="s">
        <v>1</v>
      </c>
      <c r="C5" s="355"/>
      <c r="D5" s="355"/>
      <c r="E5" s="355"/>
    </row>
    <row r="6" spans="2:7" ht="14.25">
      <c r="B6" s="356" t="s">
        <v>228</v>
      </c>
      <c r="C6" s="356"/>
      <c r="D6" s="356"/>
      <c r="E6" s="356"/>
    </row>
    <row r="7" spans="2:7" ht="14.25">
      <c r="B7" s="151"/>
      <c r="C7" s="151"/>
      <c r="D7" s="151"/>
      <c r="E7" s="151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152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45466.21</v>
      </c>
      <c r="E11" s="258">
        <f>E12</f>
        <v>18463.740000000002</v>
      </c>
    </row>
    <row r="12" spans="2:7">
      <c r="B12" s="107" t="s">
        <v>4</v>
      </c>
      <c r="C12" s="6" t="s">
        <v>5</v>
      </c>
      <c r="D12" s="261">
        <v>45466.21</v>
      </c>
      <c r="E12" s="337">
        <v>18463.740000000002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45466.21</v>
      </c>
      <c r="E21" s="149">
        <f>E11</f>
        <v>18463.740000000002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52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134781.98000000001</v>
      </c>
      <c r="E26" s="232">
        <f>D21</f>
        <v>45466.21</v>
      </c>
    </row>
    <row r="27" spans="2:6">
      <c r="B27" s="9" t="s">
        <v>17</v>
      </c>
      <c r="C27" s="10" t="s">
        <v>187</v>
      </c>
      <c r="D27" s="201">
        <v>-95525.14</v>
      </c>
      <c r="E27" s="225">
        <f>E28-E32</f>
        <v>-25541.919999999998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95525.14</v>
      </c>
      <c r="E32" s="226">
        <f>E33+E35+E37+E39</f>
        <v>25541.919999999998</v>
      </c>
      <c r="F32" s="72"/>
    </row>
    <row r="33" spans="2:6">
      <c r="B33" s="105" t="s">
        <v>4</v>
      </c>
      <c r="C33" s="6" t="s">
        <v>25</v>
      </c>
      <c r="D33" s="202">
        <v>92995.48</v>
      </c>
      <c r="E33" s="227">
        <v>24837.17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395.03</v>
      </c>
      <c r="E35" s="227">
        <v>168.87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2134.63</v>
      </c>
      <c r="E37" s="227">
        <v>535.88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6209.37</v>
      </c>
      <c r="E40" s="233">
        <v>-1460.55</v>
      </c>
    </row>
    <row r="41" spans="2:6" ht="13.5" thickBot="1">
      <c r="B41" s="100" t="s">
        <v>37</v>
      </c>
      <c r="C41" s="101" t="s">
        <v>38</v>
      </c>
      <c r="D41" s="205">
        <v>45466.210000000014</v>
      </c>
      <c r="E41" s="149">
        <f>E26+E27+E40</f>
        <v>18463.740000000002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5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1244.7542000000001</v>
      </c>
      <c r="E47" s="74">
        <v>399.91390000000001</v>
      </c>
    </row>
    <row r="48" spans="2:6">
      <c r="B48" s="124" t="s">
        <v>6</v>
      </c>
      <c r="C48" s="22" t="s">
        <v>41</v>
      </c>
      <c r="D48" s="207">
        <v>399.91390000000001</v>
      </c>
      <c r="E48" s="348">
        <v>172.73589999999999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108.28</v>
      </c>
      <c r="E50" s="76">
        <v>113.69</v>
      </c>
    </row>
    <row r="51" spans="2:5">
      <c r="B51" s="103" t="s">
        <v>6</v>
      </c>
      <c r="C51" s="15" t="s">
        <v>190</v>
      </c>
      <c r="D51" s="209">
        <v>108.28</v>
      </c>
      <c r="E51" s="76">
        <v>106.53</v>
      </c>
    </row>
    <row r="52" spans="2:5">
      <c r="B52" s="103" t="s">
        <v>8</v>
      </c>
      <c r="C52" s="15" t="s">
        <v>191</v>
      </c>
      <c r="D52" s="209">
        <v>113.81</v>
      </c>
      <c r="E52" s="76">
        <v>115.3</v>
      </c>
    </row>
    <row r="53" spans="2:5" ht="13.5" thickBot="1">
      <c r="B53" s="104" t="s">
        <v>9</v>
      </c>
      <c r="C53" s="17" t="s">
        <v>41</v>
      </c>
      <c r="D53" s="210">
        <v>113.69</v>
      </c>
      <c r="E53" s="335">
        <v>106.89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18463.740000000002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18463.740000000002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18463.740000000002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18463.740000000002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G81"/>
  <sheetViews>
    <sheetView zoomScale="80" zoomScaleNormal="80" workbookViewId="0">
      <selection activeCell="O41" sqref="O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148"/>
      <c r="C4" s="148"/>
      <c r="D4" s="148"/>
      <c r="E4" s="148"/>
    </row>
    <row r="5" spans="2:7" ht="14.25">
      <c r="B5" s="355" t="s">
        <v>1</v>
      </c>
      <c r="C5" s="355"/>
      <c r="D5" s="355"/>
      <c r="E5" s="355"/>
    </row>
    <row r="6" spans="2:7" ht="14.25">
      <c r="B6" s="356" t="s">
        <v>227</v>
      </c>
      <c r="C6" s="356"/>
      <c r="D6" s="356"/>
      <c r="E6" s="356"/>
    </row>
    <row r="7" spans="2:7" ht="14.25">
      <c r="B7" s="151"/>
      <c r="C7" s="151"/>
      <c r="D7" s="151"/>
      <c r="E7" s="151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152"/>
      <c r="C10" s="77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70078.289999999994</v>
      </c>
      <c r="E11" s="258">
        <f>E12</f>
        <v>3734.46</v>
      </c>
    </row>
    <row r="12" spans="2:7">
      <c r="B12" s="107" t="s">
        <v>4</v>
      </c>
      <c r="C12" s="6" t="s">
        <v>5</v>
      </c>
      <c r="D12" s="261">
        <v>70078.289999999994</v>
      </c>
      <c r="E12" s="337">
        <v>3734.46</v>
      </c>
    </row>
    <row r="13" spans="2:7">
      <c r="B13" s="107" t="s">
        <v>6</v>
      </c>
      <c r="C13" s="69" t="s">
        <v>7</v>
      </c>
      <c r="D13" s="261"/>
      <c r="E13" s="262"/>
    </row>
    <row r="14" spans="2:7">
      <c r="B14" s="107" t="s">
        <v>8</v>
      </c>
      <c r="C14" s="69" t="s">
        <v>10</v>
      </c>
      <c r="D14" s="261"/>
      <c r="E14" s="262"/>
    </row>
    <row r="15" spans="2:7">
      <c r="B15" s="107" t="s">
        <v>182</v>
      </c>
      <c r="C15" s="69" t="s">
        <v>11</v>
      </c>
      <c r="D15" s="261"/>
      <c r="E15" s="262"/>
    </row>
    <row r="16" spans="2:7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70078.289999999994</v>
      </c>
      <c r="E21" s="149">
        <f>E11</f>
        <v>3734.46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52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78178.210000000006</v>
      </c>
      <c r="E26" s="232">
        <f>D21</f>
        <v>70078.289999999994</v>
      </c>
    </row>
    <row r="27" spans="2:6">
      <c r="B27" s="9" t="s">
        <v>17</v>
      </c>
      <c r="C27" s="10" t="s">
        <v>187</v>
      </c>
      <c r="D27" s="201">
        <v>-10451.059999999998</v>
      </c>
      <c r="E27" s="225">
        <f>E28-E32</f>
        <v>-65046.18</v>
      </c>
      <c r="F27" s="72"/>
    </row>
    <row r="28" spans="2:6">
      <c r="B28" s="9" t="s">
        <v>18</v>
      </c>
      <c r="C28" s="10" t="s">
        <v>19</v>
      </c>
      <c r="D28" s="201">
        <v>10773.34</v>
      </c>
      <c r="E28" s="226">
        <f>E29+E30+E31</f>
        <v>0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10773.34</v>
      </c>
      <c r="E31" s="227"/>
      <c r="F31" s="72"/>
    </row>
    <row r="32" spans="2:6">
      <c r="B32" s="93" t="s">
        <v>23</v>
      </c>
      <c r="C32" s="11" t="s">
        <v>24</v>
      </c>
      <c r="D32" s="201">
        <v>21224.399999999998</v>
      </c>
      <c r="E32" s="226">
        <f>E33+E35+E37+E39</f>
        <v>65046.18</v>
      </c>
      <c r="F32" s="72"/>
    </row>
    <row r="33" spans="2:6">
      <c r="B33" s="105" t="s">
        <v>4</v>
      </c>
      <c r="C33" s="6" t="s">
        <v>25</v>
      </c>
      <c r="D33" s="202"/>
      <c r="E33" s="227">
        <v>50181.43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153.65</v>
      </c>
      <c r="E35" s="227">
        <v>111.42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1131.04</v>
      </c>
      <c r="E37" s="227">
        <v>474.86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19939.71</v>
      </c>
      <c r="E39" s="228">
        <v>14278.47</v>
      </c>
      <c r="F39" s="72"/>
    </row>
    <row r="40" spans="2:6" ht="13.5" thickBot="1">
      <c r="B40" s="98" t="s">
        <v>35</v>
      </c>
      <c r="C40" s="99" t="s">
        <v>36</v>
      </c>
      <c r="D40" s="204">
        <v>2351.14</v>
      </c>
      <c r="E40" s="233">
        <v>-1297.6500000000001</v>
      </c>
    </row>
    <row r="41" spans="2:6" ht="13.5" thickBot="1">
      <c r="B41" s="100" t="s">
        <v>37</v>
      </c>
      <c r="C41" s="101" t="s">
        <v>38</v>
      </c>
      <c r="D41" s="205">
        <v>70078.290000000008</v>
      </c>
      <c r="E41" s="149">
        <f>E26+E27+E40</f>
        <v>3734.4599999999932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5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741.23649999999998</v>
      </c>
      <c r="E47" s="74">
        <v>641.39020000000005</v>
      </c>
    </row>
    <row r="48" spans="2:6">
      <c r="B48" s="124" t="s">
        <v>6</v>
      </c>
      <c r="C48" s="22" t="s">
        <v>41</v>
      </c>
      <c r="D48" s="207">
        <v>641.39020000000005</v>
      </c>
      <c r="E48" s="348">
        <v>35.647799999999997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105.47</v>
      </c>
      <c r="E50" s="76">
        <v>109.26</v>
      </c>
    </row>
    <row r="51" spans="2:5">
      <c r="B51" s="103" t="s">
        <v>6</v>
      </c>
      <c r="C51" s="15" t="s">
        <v>190</v>
      </c>
      <c r="D51" s="209">
        <v>105.46</v>
      </c>
      <c r="E51" s="76">
        <v>104.7</v>
      </c>
    </row>
    <row r="52" spans="2:5">
      <c r="B52" s="103" t="s">
        <v>8</v>
      </c>
      <c r="C52" s="15" t="s">
        <v>191</v>
      </c>
      <c r="D52" s="209">
        <v>109.43</v>
      </c>
      <c r="E52" s="76">
        <v>109.66</v>
      </c>
    </row>
    <row r="53" spans="2:5" ht="13.5" thickBot="1">
      <c r="B53" s="104" t="s">
        <v>9</v>
      </c>
      <c r="C53" s="17" t="s">
        <v>41</v>
      </c>
      <c r="D53" s="210">
        <v>109.26</v>
      </c>
      <c r="E53" s="335">
        <v>104.76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3734.46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3734.46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3734.46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3734.46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114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89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18753.18</v>
      </c>
      <c r="E11" s="258">
        <f>E12</f>
        <v>13171.68</v>
      </c>
    </row>
    <row r="12" spans="2:5">
      <c r="B12" s="107" t="s">
        <v>4</v>
      </c>
      <c r="C12" s="6" t="s">
        <v>5</v>
      </c>
      <c r="D12" s="261">
        <v>18753.18</v>
      </c>
      <c r="E12" s="337">
        <v>13171.68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18753.18</v>
      </c>
      <c r="E21" s="149">
        <f>E12</f>
        <v>13171.68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89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23367.21</v>
      </c>
      <c r="E26" s="232">
        <f>D21</f>
        <v>18753.18</v>
      </c>
    </row>
    <row r="27" spans="2:6">
      <c r="B27" s="9" t="s">
        <v>17</v>
      </c>
      <c r="C27" s="10" t="s">
        <v>187</v>
      </c>
      <c r="D27" s="201">
        <v>-5680.4800000000005</v>
      </c>
      <c r="E27" s="225">
        <f>E28-E32</f>
        <v>-5415.2800000000007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5680.4800000000005</v>
      </c>
      <c r="E32" s="226">
        <f>E33+E35+E37+E39</f>
        <v>5415.2800000000007</v>
      </c>
      <c r="F32" s="72"/>
    </row>
    <row r="33" spans="2:6">
      <c r="B33" s="105" t="s">
        <v>4</v>
      </c>
      <c r="C33" s="6" t="s">
        <v>25</v>
      </c>
      <c r="D33" s="202">
        <v>5254.52</v>
      </c>
      <c r="E33" s="227">
        <v>5141.63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34.89</v>
      </c>
      <c r="E35" s="227">
        <v>20.68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391.07</v>
      </c>
      <c r="E37" s="227">
        <v>252.97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1066.45</v>
      </c>
      <c r="E40" s="233">
        <v>-166.22</v>
      </c>
    </row>
    <row r="41" spans="2:6" ht="13.5" thickBot="1">
      <c r="B41" s="100" t="s">
        <v>37</v>
      </c>
      <c r="C41" s="101" t="s">
        <v>38</v>
      </c>
      <c r="D41" s="205">
        <v>18753.18</v>
      </c>
      <c r="E41" s="149">
        <f>E26+E27+E40</f>
        <v>13171.68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89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200.57689999999999</v>
      </c>
      <c r="E47" s="150">
        <v>153.12469999999999</v>
      </c>
    </row>
    <row r="48" spans="2:6">
      <c r="B48" s="124" t="s">
        <v>6</v>
      </c>
      <c r="C48" s="22" t="s">
        <v>41</v>
      </c>
      <c r="D48" s="207">
        <v>153.12469999999999</v>
      </c>
      <c r="E48" s="334">
        <v>108.992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116.5</v>
      </c>
      <c r="E50" s="150">
        <v>122.47</v>
      </c>
    </row>
    <row r="51" spans="2:5">
      <c r="B51" s="103" t="s">
        <v>6</v>
      </c>
      <c r="C51" s="15" t="s">
        <v>190</v>
      </c>
      <c r="D51" s="209">
        <v>116.5</v>
      </c>
      <c r="E51" s="76">
        <v>120.02</v>
      </c>
    </row>
    <row r="52" spans="2:5">
      <c r="B52" s="103" t="s">
        <v>8</v>
      </c>
      <c r="C52" s="15" t="s">
        <v>191</v>
      </c>
      <c r="D52" s="209">
        <v>122.47</v>
      </c>
      <c r="E52" s="76">
        <v>122.78</v>
      </c>
    </row>
    <row r="53" spans="2:5" ht="12.75" customHeight="1" thickBot="1">
      <c r="B53" s="104" t="s">
        <v>9</v>
      </c>
      <c r="C53" s="17" t="s">
        <v>41</v>
      </c>
      <c r="D53" s="210">
        <v>122.47</v>
      </c>
      <c r="E53" s="335">
        <v>120.85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13171.68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13171.68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13171.68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13171.68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200</v>
      </c>
      <c r="C6" s="356"/>
      <c r="D6" s="356"/>
      <c r="E6" s="356"/>
    </row>
    <row r="7" spans="2:5" ht="14.25">
      <c r="B7" s="151"/>
      <c r="C7" s="151"/>
      <c r="D7" s="151"/>
      <c r="E7" s="151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52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19643.47</v>
      </c>
      <c r="E11" s="258">
        <f>E12</f>
        <v>0</v>
      </c>
    </row>
    <row r="12" spans="2:5">
      <c r="B12" s="107" t="s">
        <v>4</v>
      </c>
      <c r="C12" s="6" t="s">
        <v>5</v>
      </c>
      <c r="D12" s="261">
        <v>19643.47</v>
      </c>
      <c r="E12" s="262">
        <v>0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19643.47</v>
      </c>
      <c r="E21" s="149">
        <f>E12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52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5108.1099999999997</v>
      </c>
      <c r="E26" s="232">
        <f>D21</f>
        <v>19643.47</v>
      </c>
    </row>
    <row r="27" spans="2:6">
      <c r="B27" s="9" t="s">
        <v>17</v>
      </c>
      <c r="C27" s="10" t="s">
        <v>187</v>
      </c>
      <c r="D27" s="201">
        <v>14436.17</v>
      </c>
      <c r="E27" s="225">
        <f>E28-E32</f>
        <v>-17008.469999999998</v>
      </c>
      <c r="F27" s="72"/>
    </row>
    <row r="28" spans="2:6">
      <c r="B28" s="9" t="s">
        <v>18</v>
      </c>
      <c r="C28" s="10" t="s">
        <v>19</v>
      </c>
      <c r="D28" s="201">
        <v>19878.23</v>
      </c>
      <c r="E28" s="226">
        <f>E29+E30+E31</f>
        <v>0</v>
      </c>
      <c r="F28" s="72"/>
    </row>
    <row r="29" spans="2:6">
      <c r="B29" s="105" t="s">
        <v>4</v>
      </c>
      <c r="C29" s="6" t="s">
        <v>20</v>
      </c>
      <c r="D29" s="202"/>
      <c r="E29" s="227"/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19878.23</v>
      </c>
      <c r="E31" s="227"/>
      <c r="F31" s="72"/>
    </row>
    <row r="32" spans="2:6">
      <c r="B32" s="93" t="s">
        <v>23</v>
      </c>
      <c r="C32" s="11" t="s">
        <v>24</v>
      </c>
      <c r="D32" s="201">
        <v>5442.0599999999995</v>
      </c>
      <c r="E32" s="226">
        <f>E33+E35+E37+E39</f>
        <v>17008.469999999998</v>
      </c>
      <c r="F32" s="72"/>
    </row>
    <row r="33" spans="2:6">
      <c r="B33" s="105" t="s">
        <v>4</v>
      </c>
      <c r="C33" s="6" t="s">
        <v>25</v>
      </c>
      <c r="D33" s="202"/>
      <c r="E33" s="227">
        <v>16696.78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14.18</v>
      </c>
      <c r="E35" s="227">
        <v>21.19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279.52</v>
      </c>
      <c r="E37" s="227">
        <v>290.5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5148.3599999999997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99.19</v>
      </c>
      <c r="E40" s="233">
        <v>-2635</v>
      </c>
    </row>
    <row r="41" spans="2:6" ht="13.5" thickBot="1">
      <c r="B41" s="100" t="s">
        <v>37</v>
      </c>
      <c r="C41" s="101" t="s">
        <v>38</v>
      </c>
      <c r="D41" s="205">
        <v>19643.469999999998</v>
      </c>
      <c r="E41" s="149" t="s">
        <v>206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52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36.158499999999997</v>
      </c>
      <c r="E47" s="150">
        <v>136.57419999999999</v>
      </c>
    </row>
    <row r="48" spans="2:6">
      <c r="B48" s="124" t="s">
        <v>6</v>
      </c>
      <c r="C48" s="22" t="s">
        <v>41</v>
      </c>
      <c r="D48" s="207">
        <v>136.57419999999999</v>
      </c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141.27000000000001</v>
      </c>
      <c r="E50" s="150">
        <v>143.83000000000001</v>
      </c>
    </row>
    <row r="51" spans="2:5">
      <c r="B51" s="103" t="s">
        <v>6</v>
      </c>
      <c r="C51" s="15" t="s">
        <v>190</v>
      </c>
      <c r="D51" s="209">
        <v>140.28</v>
      </c>
      <c r="E51" s="76">
        <v>105.57</v>
      </c>
    </row>
    <row r="52" spans="2:5">
      <c r="B52" s="103" t="s">
        <v>8</v>
      </c>
      <c r="C52" s="15" t="s">
        <v>191</v>
      </c>
      <c r="D52" s="209">
        <v>146.1</v>
      </c>
      <c r="E52" s="76">
        <v>144.09</v>
      </c>
    </row>
    <row r="53" spans="2:5" ht="13.5" thickBot="1">
      <c r="B53" s="104" t="s">
        <v>9</v>
      </c>
      <c r="C53" s="17" t="s">
        <v>41</v>
      </c>
      <c r="D53" s="210">
        <v>143.83000000000001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81"/>
  <sheetViews>
    <sheetView zoomScale="80" zoomScaleNormal="80" workbookViewId="0">
      <selection activeCell="K33" sqref="K3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5.855468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21" customHeight="1">
      <c r="B5" s="355" t="s">
        <v>1</v>
      </c>
      <c r="C5" s="355"/>
      <c r="D5" s="355"/>
      <c r="E5" s="355"/>
    </row>
    <row r="6" spans="2:8" ht="14.25">
      <c r="B6" s="356" t="s">
        <v>87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29" t="s">
        <v>185</v>
      </c>
      <c r="D11" s="257">
        <v>115562306.42</v>
      </c>
      <c r="E11" s="258">
        <f>E12+E13+E14</f>
        <v>106161061.16</v>
      </c>
    </row>
    <row r="12" spans="2:8">
      <c r="B12" s="107" t="s">
        <v>4</v>
      </c>
      <c r="C12" s="6" t="s">
        <v>5</v>
      </c>
      <c r="D12" s="261">
        <v>115213332.26000001</v>
      </c>
      <c r="E12" s="262">
        <f>107619254.89-1884368.83</f>
        <v>105734886.06</v>
      </c>
    </row>
    <row r="13" spans="2:8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v>348974.16</v>
      </c>
      <c r="E14" s="262">
        <f>E15</f>
        <v>426175.10000000003</v>
      </c>
    </row>
    <row r="15" spans="2:8">
      <c r="B15" s="107" t="s">
        <v>182</v>
      </c>
      <c r="C15" s="69" t="s">
        <v>11</v>
      </c>
      <c r="D15" s="261">
        <v>348974.16</v>
      </c>
      <c r="E15" s="262">
        <v>426175.10000000003</v>
      </c>
    </row>
    <row r="16" spans="2:8">
      <c r="B16" s="108" t="s">
        <v>183</v>
      </c>
      <c r="C16" s="92" t="s">
        <v>12</v>
      </c>
      <c r="D16" s="263"/>
      <c r="E16" s="264"/>
    </row>
    <row r="17" spans="2:7">
      <c r="B17" s="9" t="s">
        <v>13</v>
      </c>
      <c r="C17" s="11" t="s">
        <v>65</v>
      </c>
      <c r="D17" s="296">
        <v>190678.66</v>
      </c>
      <c r="E17" s="266">
        <f>SUM(E18:E19)</f>
        <v>148226.53</v>
      </c>
    </row>
    <row r="18" spans="2:7">
      <c r="B18" s="107" t="s">
        <v>4</v>
      </c>
      <c r="C18" s="6" t="s">
        <v>11</v>
      </c>
      <c r="D18" s="261">
        <v>190678.66</v>
      </c>
      <c r="E18" s="299">
        <v>148226.53</v>
      </c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v>115371627.76000001</v>
      </c>
      <c r="E21" s="149">
        <f>E11-E17</f>
        <v>106012834.63</v>
      </c>
      <c r="F21" s="78"/>
      <c r="G21" s="68"/>
    </row>
    <row r="22" spans="2:7">
      <c r="B22" s="3"/>
      <c r="C22" s="7"/>
      <c r="D22" s="8"/>
      <c r="E22" s="8"/>
    </row>
    <row r="23" spans="2:7" ht="15.75">
      <c r="B23" s="358"/>
      <c r="C23" s="366"/>
      <c r="D23" s="366"/>
      <c r="E23" s="366"/>
    </row>
    <row r="24" spans="2:7" ht="16.5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113893270.93000001</v>
      </c>
      <c r="E26" s="232">
        <f>D21</f>
        <v>115371627.76000001</v>
      </c>
    </row>
    <row r="27" spans="2:7">
      <c r="B27" s="9" t="s">
        <v>17</v>
      </c>
      <c r="C27" s="10" t="s">
        <v>187</v>
      </c>
      <c r="D27" s="201">
        <v>-1762474.7599999979</v>
      </c>
      <c r="E27" s="225">
        <f>E28-E32</f>
        <v>1364399.1500000004</v>
      </c>
      <c r="F27" s="72"/>
    </row>
    <row r="28" spans="2:7">
      <c r="B28" s="9" t="s">
        <v>18</v>
      </c>
      <c r="C28" s="10" t="s">
        <v>19</v>
      </c>
      <c r="D28" s="201">
        <v>17957086.010000002</v>
      </c>
      <c r="E28" s="226">
        <v>16014124.939999999</v>
      </c>
      <c r="F28" s="72"/>
    </row>
    <row r="29" spans="2:7">
      <c r="B29" s="105" t="s">
        <v>4</v>
      </c>
      <c r="C29" s="6" t="s">
        <v>20</v>
      </c>
      <c r="D29" s="202">
        <v>17481130.900000002</v>
      </c>
      <c r="E29" s="227">
        <v>15686269.869999999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475955.11</v>
      </c>
      <c r="E31" s="227">
        <v>327855.07</v>
      </c>
      <c r="F31" s="72"/>
    </row>
    <row r="32" spans="2:7">
      <c r="B32" s="93" t="s">
        <v>23</v>
      </c>
      <c r="C32" s="11" t="s">
        <v>24</v>
      </c>
      <c r="D32" s="201">
        <v>19719560.77</v>
      </c>
      <c r="E32" s="226">
        <f>SUM(E33:E39)</f>
        <v>14649725.789999999</v>
      </c>
      <c r="F32" s="72"/>
    </row>
    <row r="33" spans="2:6">
      <c r="B33" s="105" t="s">
        <v>4</v>
      </c>
      <c r="C33" s="6" t="s">
        <v>25</v>
      </c>
      <c r="D33" s="202">
        <v>14721218.190000001</v>
      </c>
      <c r="E33" s="227">
        <f>10474506.43-16099.47</f>
        <v>10458406.959999999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3204373.47</v>
      </c>
      <c r="E35" s="227">
        <v>3024707.64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1793969.11</v>
      </c>
      <c r="E39" s="228">
        <v>1166611.19</v>
      </c>
      <c r="F39" s="72"/>
    </row>
    <row r="40" spans="2:6" ht="13.5" thickBot="1">
      <c r="B40" s="98" t="s">
        <v>35</v>
      </c>
      <c r="C40" s="99" t="s">
        <v>36</v>
      </c>
      <c r="D40" s="204">
        <v>3240831.59</v>
      </c>
      <c r="E40" s="233">
        <v>-10723192.279999999</v>
      </c>
    </row>
    <row r="41" spans="2:6" ht="13.5" thickBot="1">
      <c r="B41" s="100" t="s">
        <v>37</v>
      </c>
      <c r="C41" s="101" t="s">
        <v>38</v>
      </c>
      <c r="D41" s="205">
        <v>115371627.76000002</v>
      </c>
      <c r="E41" s="149">
        <f>E26+E27+E40</f>
        <v>106012834.63000001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5.7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218"/>
      <c r="E46" s="28"/>
    </row>
    <row r="47" spans="2:6">
      <c r="B47" s="103" t="s">
        <v>4</v>
      </c>
      <c r="C47" s="15" t="s">
        <v>40</v>
      </c>
      <c r="D47" s="206">
        <v>9829700.2354601733</v>
      </c>
      <c r="E47" s="74">
        <v>9686391.1517999992</v>
      </c>
    </row>
    <row r="48" spans="2:6">
      <c r="B48" s="124" t="s">
        <v>6</v>
      </c>
      <c r="C48" s="22" t="s">
        <v>41</v>
      </c>
      <c r="D48" s="207">
        <v>9686391.1517999992</v>
      </c>
      <c r="E48" s="292">
        <v>9785822.5662600007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11.586647425842701</v>
      </c>
      <c r="E50" s="150">
        <v>11.910692635819199</v>
      </c>
    </row>
    <row r="51" spans="2:5">
      <c r="B51" s="103" t="s">
        <v>6</v>
      </c>
      <c r="C51" s="15" t="s">
        <v>190</v>
      </c>
      <c r="D51" s="294">
        <v>11.586600000000001</v>
      </c>
      <c r="E51" s="300">
        <v>10.766400000000001</v>
      </c>
    </row>
    <row r="52" spans="2:5" ht="12.75" customHeight="1">
      <c r="B52" s="103" t="s">
        <v>8</v>
      </c>
      <c r="C52" s="15" t="s">
        <v>191</v>
      </c>
      <c r="D52" s="294">
        <v>12.0701</v>
      </c>
      <c r="E52" s="300">
        <v>12.333</v>
      </c>
    </row>
    <row r="53" spans="2:5" ht="13.5" thickBot="1">
      <c r="B53" s="104" t="s">
        <v>9</v>
      </c>
      <c r="C53" s="17" t="s">
        <v>41</v>
      </c>
      <c r="D53" s="210">
        <v>11.910692635819199</v>
      </c>
      <c r="E53" s="301">
        <v>10.8333084840013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105734886.06</v>
      </c>
      <c r="E58" s="32">
        <f>D58/E21</f>
        <v>0.99737816113520528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107324106.8-1884368.83</f>
        <v>105439737.97</v>
      </c>
      <c r="E64" s="82">
        <f>D64/E21</f>
        <v>0.99459408229201507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295148.09000000003</v>
      </c>
      <c r="E69" s="80">
        <f>D69/E21</f>
        <v>2.7840788431901589E-3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426175.10000000003</v>
      </c>
      <c r="E72" s="120">
        <f>D72/E21</f>
        <v>4.0200330600291207E-3</v>
      </c>
    </row>
    <row r="73" spans="2:5">
      <c r="B73" s="23" t="s">
        <v>62</v>
      </c>
      <c r="C73" s="24" t="s">
        <v>65</v>
      </c>
      <c r="D73" s="25">
        <f>E17</f>
        <v>148226.53</v>
      </c>
      <c r="E73" s="26">
        <f>D73/E21</f>
        <v>1.3981941952343022E-3</v>
      </c>
    </row>
    <row r="74" spans="2:5">
      <c r="B74" s="121" t="s">
        <v>64</v>
      </c>
      <c r="C74" s="122" t="s">
        <v>66</v>
      </c>
      <c r="D74" s="123">
        <f>D58+D71+D72-D73</f>
        <v>106012834.63</v>
      </c>
      <c r="E74" s="67">
        <f>E58+E72-E73</f>
        <v>1</v>
      </c>
    </row>
    <row r="75" spans="2:5">
      <c r="B75" s="14" t="s">
        <v>4</v>
      </c>
      <c r="C75" s="15" t="s">
        <v>67</v>
      </c>
      <c r="D75" s="79">
        <f>D74</f>
        <v>106012834.63</v>
      </c>
      <c r="E75" s="80">
        <f>E74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115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89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53370.67</v>
      </c>
      <c r="E11" s="258">
        <f>E12</f>
        <v>49934.87</v>
      </c>
    </row>
    <row r="12" spans="2:5">
      <c r="B12" s="173" t="s">
        <v>4</v>
      </c>
      <c r="C12" s="174" t="s">
        <v>5</v>
      </c>
      <c r="D12" s="261">
        <v>53370.67</v>
      </c>
      <c r="E12" s="337">
        <v>49934.87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53370.67</v>
      </c>
      <c r="E21" s="149">
        <f>E12</f>
        <v>49934.87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55737.33</v>
      </c>
      <c r="E26" s="232">
        <f>D21</f>
        <v>53370.67</v>
      </c>
    </row>
    <row r="27" spans="2:6">
      <c r="B27" s="9" t="s">
        <v>17</v>
      </c>
      <c r="C27" s="10" t="s">
        <v>187</v>
      </c>
      <c r="D27" s="201">
        <v>-3931.0600000000004</v>
      </c>
      <c r="E27" s="225">
        <f>E28-E32</f>
        <v>-3560.42</v>
      </c>
      <c r="F27" s="72"/>
    </row>
    <row r="28" spans="2:6">
      <c r="B28" s="9" t="s">
        <v>18</v>
      </c>
      <c r="C28" s="10" t="s">
        <v>19</v>
      </c>
      <c r="D28" s="201">
        <v>7227.89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7227.89</v>
      </c>
      <c r="E31" s="227"/>
      <c r="F31" s="72"/>
    </row>
    <row r="32" spans="2:6">
      <c r="B32" s="93" t="s">
        <v>23</v>
      </c>
      <c r="C32" s="11" t="s">
        <v>24</v>
      </c>
      <c r="D32" s="201">
        <v>11158.95</v>
      </c>
      <c r="E32" s="226">
        <f>E33+E35+E37+E39</f>
        <v>3560.42</v>
      </c>
      <c r="F32" s="72"/>
    </row>
    <row r="33" spans="2:6">
      <c r="B33" s="181" t="s">
        <v>4</v>
      </c>
      <c r="C33" s="174" t="s">
        <v>25</v>
      </c>
      <c r="D33" s="202">
        <v>8110.5</v>
      </c>
      <c r="E33" s="227">
        <v>2566.89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41.02</v>
      </c>
      <c r="E35" s="227">
        <v>42.96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962.32</v>
      </c>
      <c r="E37" s="227">
        <v>950.57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2045.11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1564.4</v>
      </c>
      <c r="E40" s="233">
        <v>124.62</v>
      </c>
    </row>
    <row r="41" spans="2:6" ht="13.5" thickBot="1">
      <c r="B41" s="100" t="s">
        <v>37</v>
      </c>
      <c r="C41" s="101" t="s">
        <v>38</v>
      </c>
      <c r="D41" s="205">
        <v>53370.670000000006</v>
      </c>
      <c r="E41" s="149">
        <f>E26+E27+E40</f>
        <v>49934.87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438.08319999999998</v>
      </c>
      <c r="E47" s="150">
        <v>406.60270000000003</v>
      </c>
    </row>
    <row r="48" spans="2:6">
      <c r="B48" s="186" t="s">
        <v>6</v>
      </c>
      <c r="C48" s="187" t="s">
        <v>41</v>
      </c>
      <c r="D48" s="207">
        <v>406.60270000000003</v>
      </c>
      <c r="E48" s="336">
        <v>379.58850000000001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127.23</v>
      </c>
      <c r="E50" s="236">
        <v>131.26</v>
      </c>
    </row>
    <row r="51" spans="2:5">
      <c r="B51" s="184" t="s">
        <v>6</v>
      </c>
      <c r="C51" s="185" t="s">
        <v>190</v>
      </c>
      <c r="D51" s="209">
        <v>127.21</v>
      </c>
      <c r="E51" s="237">
        <v>131.26</v>
      </c>
    </row>
    <row r="52" spans="2:5">
      <c r="B52" s="184" t="s">
        <v>8</v>
      </c>
      <c r="C52" s="185" t="s">
        <v>191</v>
      </c>
      <c r="D52" s="209">
        <v>131.26</v>
      </c>
      <c r="E52" s="237">
        <v>132.44999999999999</v>
      </c>
    </row>
    <row r="53" spans="2:5" ht="13.5" customHeight="1" thickBot="1">
      <c r="B53" s="188" t="s">
        <v>9</v>
      </c>
      <c r="C53" s="189" t="s">
        <v>41</v>
      </c>
      <c r="D53" s="210">
        <v>131.26</v>
      </c>
      <c r="E53" s="343">
        <v>131.55000000000001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49934.87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49934.87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49934.87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49934.87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88"/>
      <c r="C4" s="88"/>
      <c r="D4" s="88"/>
      <c r="E4" s="8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159</v>
      </c>
      <c r="C6" s="356"/>
      <c r="D6" s="356"/>
      <c r="E6" s="356"/>
    </row>
    <row r="7" spans="2:5" ht="14.25">
      <c r="B7" s="90"/>
      <c r="C7" s="90"/>
      <c r="D7" s="90"/>
      <c r="E7" s="90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89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0</v>
      </c>
      <c r="E11" s="258">
        <f>E12</f>
        <v>0</v>
      </c>
    </row>
    <row r="12" spans="2:5">
      <c r="B12" s="173" t="s">
        <v>4</v>
      </c>
      <c r="C12" s="174" t="s">
        <v>5</v>
      </c>
      <c r="D12" s="248"/>
      <c r="E12" s="242"/>
    </row>
    <row r="13" spans="2:5">
      <c r="B13" s="173" t="s">
        <v>6</v>
      </c>
      <c r="C13" s="175" t="s">
        <v>7</v>
      </c>
      <c r="D13" s="248"/>
      <c r="E13" s="242"/>
    </row>
    <row r="14" spans="2:5">
      <c r="B14" s="173" t="s">
        <v>8</v>
      </c>
      <c r="C14" s="175" t="s">
        <v>10</v>
      </c>
      <c r="D14" s="248"/>
      <c r="E14" s="242"/>
    </row>
    <row r="15" spans="2:5">
      <c r="B15" s="173" t="s">
        <v>182</v>
      </c>
      <c r="C15" s="175" t="s">
        <v>11</v>
      </c>
      <c r="D15" s="248"/>
      <c r="E15" s="242"/>
    </row>
    <row r="16" spans="2:5">
      <c r="B16" s="176" t="s">
        <v>183</v>
      </c>
      <c r="C16" s="177" t="s">
        <v>12</v>
      </c>
      <c r="D16" s="249"/>
      <c r="E16" s="243"/>
    </row>
    <row r="17" spans="2:6">
      <c r="B17" s="9" t="s">
        <v>13</v>
      </c>
      <c r="C17" s="11" t="s">
        <v>65</v>
      </c>
      <c r="D17" s="250"/>
      <c r="E17" s="244"/>
    </row>
    <row r="18" spans="2:6">
      <c r="B18" s="173" t="s">
        <v>4</v>
      </c>
      <c r="C18" s="174" t="s">
        <v>11</v>
      </c>
      <c r="D18" s="248"/>
      <c r="E18" s="243"/>
    </row>
    <row r="19" spans="2:6" ht="15" customHeight="1">
      <c r="B19" s="173" t="s">
        <v>6</v>
      </c>
      <c r="C19" s="175" t="s">
        <v>184</v>
      </c>
      <c r="D19" s="248"/>
      <c r="E19" s="242"/>
    </row>
    <row r="20" spans="2:6" ht="13.5" thickBot="1">
      <c r="B20" s="178" t="s">
        <v>8</v>
      </c>
      <c r="C20" s="179" t="s">
        <v>14</v>
      </c>
      <c r="D20" s="251"/>
      <c r="E20" s="245"/>
    </row>
    <row r="21" spans="2:6" ht="13.5" thickBot="1">
      <c r="B21" s="364" t="s">
        <v>186</v>
      </c>
      <c r="C21" s="365"/>
      <c r="D21" s="252">
        <v>0</v>
      </c>
      <c r="E21" s="246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6890.98</v>
      </c>
      <c r="E26" s="232">
        <f>D21</f>
        <v>0</v>
      </c>
    </row>
    <row r="27" spans="2:6">
      <c r="B27" s="9" t="s">
        <v>17</v>
      </c>
      <c r="C27" s="10" t="s">
        <v>187</v>
      </c>
      <c r="D27" s="201">
        <v>-7526.8099999999995</v>
      </c>
      <c r="E27" s="225">
        <f>E28-E32</f>
        <v>0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7526.8099999999995</v>
      </c>
      <c r="E32" s="226">
        <f>E33+E35+E37+E39</f>
        <v>0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8.52</v>
      </c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114.17</v>
      </c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7404.12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635.83000000000004</v>
      </c>
      <c r="E40" s="233">
        <f>-E41</f>
        <v>0</v>
      </c>
    </row>
    <row r="41" spans="2:6" ht="13.5" thickBot="1">
      <c r="B41" s="100" t="s">
        <v>37</v>
      </c>
      <c r="C41" s="101" t="s">
        <v>38</v>
      </c>
      <c r="D41" s="205">
        <v>0</v>
      </c>
      <c r="E41" s="149"/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40.585299999999997</v>
      </c>
      <c r="E47" s="150"/>
    </row>
    <row r="48" spans="2:6">
      <c r="B48" s="186" t="s">
        <v>6</v>
      </c>
      <c r="C48" s="187" t="s">
        <v>41</v>
      </c>
      <c r="D48" s="207"/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169.79</v>
      </c>
      <c r="E50" s="150"/>
    </row>
    <row r="51" spans="2:5">
      <c r="B51" s="184" t="s">
        <v>6</v>
      </c>
      <c r="C51" s="185" t="s">
        <v>190</v>
      </c>
      <c r="D51" s="209">
        <v>160.01</v>
      </c>
      <c r="E51" s="76"/>
    </row>
    <row r="52" spans="2:5">
      <c r="B52" s="184" t="s">
        <v>8</v>
      </c>
      <c r="C52" s="185" t="s">
        <v>191</v>
      </c>
      <c r="D52" s="209">
        <v>188.85</v>
      </c>
      <c r="E52" s="76"/>
    </row>
    <row r="53" spans="2:5" ht="14.25" customHeight="1" thickBot="1">
      <c r="B53" s="188" t="s">
        <v>9</v>
      </c>
      <c r="C53" s="189" t="s">
        <v>41</v>
      </c>
      <c r="D53" s="210"/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144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1173362.48</v>
      </c>
      <c r="E11" s="258">
        <f>E12</f>
        <v>464283.27</v>
      </c>
    </row>
    <row r="12" spans="2:5">
      <c r="B12" s="173" t="s">
        <v>4</v>
      </c>
      <c r="C12" s="174" t="s">
        <v>5</v>
      </c>
      <c r="D12" s="261">
        <v>1173362.48</v>
      </c>
      <c r="E12" s="337">
        <v>464283.27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1173362.48</v>
      </c>
      <c r="E21" s="149">
        <f>E11</f>
        <v>464283.27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1786443.04</v>
      </c>
      <c r="E26" s="232">
        <f>D21</f>
        <v>1173362.48</v>
      </c>
    </row>
    <row r="27" spans="2:6">
      <c r="B27" s="9" t="s">
        <v>17</v>
      </c>
      <c r="C27" s="10" t="s">
        <v>187</v>
      </c>
      <c r="D27" s="201">
        <v>-731653.83000000007</v>
      </c>
      <c r="E27" s="225">
        <f>E28-E32</f>
        <v>-641341.98</v>
      </c>
      <c r="F27" s="72"/>
    </row>
    <row r="28" spans="2:6">
      <c r="B28" s="9" t="s">
        <v>18</v>
      </c>
      <c r="C28" s="10" t="s">
        <v>19</v>
      </c>
      <c r="D28" s="201">
        <v>27988.48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27988.48</v>
      </c>
      <c r="E31" s="227"/>
      <c r="F31" s="72"/>
    </row>
    <row r="32" spans="2:6">
      <c r="B32" s="93" t="s">
        <v>23</v>
      </c>
      <c r="C32" s="11" t="s">
        <v>24</v>
      </c>
      <c r="D32" s="201">
        <v>759642.31</v>
      </c>
      <c r="E32" s="226">
        <f>E33+E35+E37+E39</f>
        <v>641341.98</v>
      </c>
      <c r="F32" s="72"/>
    </row>
    <row r="33" spans="2:6">
      <c r="B33" s="181" t="s">
        <v>4</v>
      </c>
      <c r="C33" s="174" t="s">
        <v>25</v>
      </c>
      <c r="D33" s="202">
        <v>593168.55000000005</v>
      </c>
      <c r="E33" s="227">
        <v>126638.11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2427.64</v>
      </c>
      <c r="E35" s="227">
        <v>3634.47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22377.47</v>
      </c>
      <c r="E37" s="227">
        <v>13321.32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141668.65</v>
      </c>
      <c r="E39" s="228">
        <v>497748.08</v>
      </c>
      <c r="F39" s="72"/>
    </row>
    <row r="40" spans="2:6" ht="13.5" thickBot="1">
      <c r="B40" s="98" t="s">
        <v>35</v>
      </c>
      <c r="C40" s="99" t="s">
        <v>36</v>
      </c>
      <c r="D40" s="204">
        <v>118573.27</v>
      </c>
      <c r="E40" s="233">
        <v>-67737.23</v>
      </c>
    </row>
    <row r="41" spans="2:6" ht="13.5" thickBot="1">
      <c r="B41" s="100" t="s">
        <v>37</v>
      </c>
      <c r="C41" s="101" t="s">
        <v>38</v>
      </c>
      <c r="D41" s="205">
        <v>1173362.48</v>
      </c>
      <c r="E41" s="149">
        <f>E26+E27+E40</f>
        <v>464283.27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160362.93</v>
      </c>
      <c r="E47" s="150">
        <v>96493.625</v>
      </c>
    </row>
    <row r="48" spans="2:6">
      <c r="B48" s="186" t="s">
        <v>6</v>
      </c>
      <c r="C48" s="187" t="s">
        <v>41</v>
      </c>
      <c r="D48" s="207">
        <v>96493.625</v>
      </c>
      <c r="E48" s="336">
        <v>42949.423999999999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11.14</v>
      </c>
      <c r="E50" s="236">
        <v>12.16</v>
      </c>
    </row>
    <row r="51" spans="2:5">
      <c r="B51" s="184" t="s">
        <v>6</v>
      </c>
      <c r="C51" s="185" t="s">
        <v>190</v>
      </c>
      <c r="D51" s="209">
        <v>11.02</v>
      </c>
      <c r="E51" s="237">
        <v>10.58</v>
      </c>
    </row>
    <row r="52" spans="2:5">
      <c r="B52" s="184" t="s">
        <v>8</v>
      </c>
      <c r="C52" s="185" t="s">
        <v>191</v>
      </c>
      <c r="D52" s="209">
        <v>12.37</v>
      </c>
      <c r="E52" s="237">
        <v>12.64</v>
      </c>
    </row>
    <row r="53" spans="2:5" ht="13.5" customHeight="1" thickBot="1">
      <c r="B53" s="188" t="s">
        <v>9</v>
      </c>
      <c r="C53" s="189" t="s">
        <v>41</v>
      </c>
      <c r="D53" s="210">
        <v>12.16</v>
      </c>
      <c r="E53" s="343">
        <v>10.81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464283.27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464283.27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464283.27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464283.27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142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2334416.84</v>
      </c>
      <c r="E11" s="258">
        <f>E12</f>
        <v>1587442.79</v>
      </c>
    </row>
    <row r="12" spans="2:5">
      <c r="B12" s="173" t="s">
        <v>4</v>
      </c>
      <c r="C12" s="174" t="s">
        <v>5</v>
      </c>
      <c r="D12" s="261">
        <v>2334416.84</v>
      </c>
      <c r="E12" s="337">
        <v>1587442.79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2334416.84</v>
      </c>
      <c r="E21" s="149">
        <f>E11</f>
        <v>1587442.79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3052935.22</v>
      </c>
      <c r="E26" s="232">
        <f>D21</f>
        <v>2334416.84</v>
      </c>
    </row>
    <row r="27" spans="2:6">
      <c r="B27" s="9" t="s">
        <v>17</v>
      </c>
      <c r="C27" s="10" t="s">
        <v>187</v>
      </c>
      <c r="D27" s="201">
        <v>-949679.83000000007</v>
      </c>
      <c r="E27" s="225">
        <f>E28-E32</f>
        <v>-523703.99</v>
      </c>
      <c r="F27" s="72"/>
    </row>
    <row r="28" spans="2:6">
      <c r="B28" s="9" t="s">
        <v>18</v>
      </c>
      <c r="C28" s="10" t="s">
        <v>19</v>
      </c>
      <c r="D28" s="201">
        <v>5814.77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>
        <v>1950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3864.77</v>
      </c>
      <c r="E31" s="227"/>
      <c r="F31" s="72"/>
    </row>
    <row r="32" spans="2:6">
      <c r="B32" s="93" t="s">
        <v>23</v>
      </c>
      <c r="C32" s="11" t="s">
        <v>24</v>
      </c>
      <c r="D32" s="201">
        <v>955494.60000000009</v>
      </c>
      <c r="E32" s="226">
        <f>E33+E35+E37+E39</f>
        <v>523703.99</v>
      </c>
      <c r="F32" s="72"/>
    </row>
    <row r="33" spans="2:6">
      <c r="B33" s="181" t="s">
        <v>4</v>
      </c>
      <c r="C33" s="174" t="s">
        <v>25</v>
      </c>
      <c r="D33" s="202">
        <v>531995.9</v>
      </c>
      <c r="E33" s="227">
        <v>248075.17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2207.65</v>
      </c>
      <c r="E35" s="227">
        <v>2879.72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44724.54</v>
      </c>
      <c r="E37" s="227">
        <v>33579.31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376566.51</v>
      </c>
      <c r="E39" s="228">
        <v>239169.79</v>
      </c>
      <c r="F39" s="72"/>
    </row>
    <row r="40" spans="2:6" ht="13.5" thickBot="1">
      <c r="B40" s="98" t="s">
        <v>35</v>
      </c>
      <c r="C40" s="99" t="s">
        <v>36</v>
      </c>
      <c r="D40" s="204">
        <v>231161.45</v>
      </c>
      <c r="E40" s="233">
        <v>-223270.06</v>
      </c>
    </row>
    <row r="41" spans="2:6" ht="13.5" thickBot="1">
      <c r="B41" s="100" t="s">
        <v>37</v>
      </c>
      <c r="C41" s="101" t="s">
        <v>38</v>
      </c>
      <c r="D41" s="205">
        <v>2334416.8400000003</v>
      </c>
      <c r="E41" s="149">
        <f>E26+E27+E40</f>
        <v>1587442.7899999998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200455.36600000001</v>
      </c>
      <c r="E47" s="150">
        <v>141737.51300000001</v>
      </c>
    </row>
    <row r="48" spans="2:6">
      <c r="B48" s="186" t="s">
        <v>6</v>
      </c>
      <c r="C48" s="187" t="s">
        <v>41</v>
      </c>
      <c r="D48" s="207">
        <v>141737.51300000001</v>
      </c>
      <c r="E48" s="336">
        <v>108580.21799999999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15.23</v>
      </c>
      <c r="E50" s="236">
        <v>16.47</v>
      </c>
    </row>
    <row r="51" spans="2:5">
      <c r="B51" s="184" t="s">
        <v>6</v>
      </c>
      <c r="C51" s="185" t="s">
        <v>190</v>
      </c>
      <c r="D51" s="209">
        <v>15.23</v>
      </c>
      <c r="E51" s="236">
        <v>14.31</v>
      </c>
    </row>
    <row r="52" spans="2:5">
      <c r="B52" s="184" t="s">
        <v>8</v>
      </c>
      <c r="C52" s="185" t="s">
        <v>191</v>
      </c>
      <c r="D52" s="209">
        <v>16.55</v>
      </c>
      <c r="E52" s="237">
        <v>17.21</v>
      </c>
    </row>
    <row r="53" spans="2:5" ht="12.75" customHeight="1" thickBot="1">
      <c r="B53" s="188" t="s">
        <v>9</v>
      </c>
      <c r="C53" s="189" t="s">
        <v>41</v>
      </c>
      <c r="D53" s="210">
        <v>16.47</v>
      </c>
      <c r="E53" s="343">
        <v>14.62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1587442.79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1587442.79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1587442.79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1587442.79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143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245235.27</v>
      </c>
      <c r="E11" s="258">
        <f>E12</f>
        <v>0</v>
      </c>
    </row>
    <row r="12" spans="2:5">
      <c r="B12" s="173" t="s">
        <v>4</v>
      </c>
      <c r="C12" s="174" t="s">
        <v>5</v>
      </c>
      <c r="D12" s="261">
        <v>245235.27</v>
      </c>
      <c r="E12" s="262">
        <v>0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245235.27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255199.78</v>
      </c>
      <c r="E26" s="232">
        <f>D21</f>
        <v>245235.27</v>
      </c>
    </row>
    <row r="27" spans="2:6">
      <c r="B27" s="9" t="s">
        <v>17</v>
      </c>
      <c r="C27" s="10" t="s">
        <v>187</v>
      </c>
      <c r="D27" s="201">
        <v>-4233.9399999999996</v>
      </c>
      <c r="E27" s="225">
        <f>E28-E32</f>
        <v>-246015.87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4233.9399999999996</v>
      </c>
      <c r="E32" s="226">
        <f>E33+E35+E37+E39</f>
        <v>246015.87</v>
      </c>
      <c r="F32" s="72"/>
    </row>
    <row r="33" spans="2:6">
      <c r="B33" s="181" t="s">
        <v>4</v>
      </c>
      <c r="C33" s="174" t="s">
        <v>25</v>
      </c>
      <c r="D33" s="202"/>
      <c r="E33" s="227">
        <v>53753.08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173.8</v>
      </c>
      <c r="E35" s="227">
        <v>21.04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4060.14</v>
      </c>
      <c r="E37" s="227">
        <v>2275.29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189966.46</v>
      </c>
      <c r="F39" s="72"/>
    </row>
    <row r="40" spans="2:6" ht="13.5" thickBot="1">
      <c r="B40" s="98" t="s">
        <v>35</v>
      </c>
      <c r="C40" s="99" t="s">
        <v>36</v>
      </c>
      <c r="D40" s="204">
        <v>-5730.57</v>
      </c>
      <c r="E40" s="233">
        <v>780.6</v>
      </c>
    </row>
    <row r="41" spans="2:6" ht="13.5" thickBot="1">
      <c r="B41" s="100" t="s">
        <v>37</v>
      </c>
      <c r="C41" s="101" t="s">
        <v>38</v>
      </c>
      <c r="D41" s="205">
        <v>245235.27</v>
      </c>
      <c r="E41" s="149">
        <f>E26+E27+E40</f>
        <v>-5.7980287238024175E-12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150"/>
    </row>
    <row r="47" spans="2:6">
      <c r="B47" s="184" t="s">
        <v>4</v>
      </c>
      <c r="C47" s="185" t="s">
        <v>40</v>
      </c>
      <c r="D47" s="206">
        <v>32303.77</v>
      </c>
      <c r="E47" s="150">
        <v>31725.132000000001</v>
      </c>
    </row>
    <row r="48" spans="2:6">
      <c r="B48" s="186" t="s">
        <v>6</v>
      </c>
      <c r="C48" s="187" t="s">
        <v>41</v>
      </c>
      <c r="D48" s="207">
        <v>31725.132000000001</v>
      </c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7.9</v>
      </c>
      <c r="E50" s="150">
        <v>7.73</v>
      </c>
    </row>
    <row r="51" spans="2:5">
      <c r="B51" s="184" t="s">
        <v>6</v>
      </c>
      <c r="C51" s="185" t="s">
        <v>190</v>
      </c>
      <c r="D51" s="209">
        <v>6.48</v>
      </c>
      <c r="E51" s="76">
        <v>7.12</v>
      </c>
    </row>
    <row r="52" spans="2:5">
      <c r="B52" s="184" t="s">
        <v>8</v>
      </c>
      <c r="C52" s="185" t="s">
        <v>191</v>
      </c>
      <c r="D52" s="209">
        <v>8.2100000000000009</v>
      </c>
      <c r="E52" s="76">
        <v>8.5</v>
      </c>
    </row>
    <row r="53" spans="2:5" ht="12.75" customHeight="1" thickBot="1">
      <c r="B53" s="188" t="s">
        <v>9</v>
      </c>
      <c r="C53" s="189" t="s">
        <v>41</v>
      </c>
      <c r="D53" s="210">
        <v>7.73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v>0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141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5264394.12</v>
      </c>
      <c r="E11" s="258">
        <f>E12</f>
        <v>5708222.1600000001</v>
      </c>
    </row>
    <row r="12" spans="2:5">
      <c r="B12" s="173" t="s">
        <v>4</v>
      </c>
      <c r="C12" s="174" t="s">
        <v>5</v>
      </c>
      <c r="D12" s="261">
        <v>5264394.12</v>
      </c>
      <c r="E12" s="337">
        <v>5708222.1600000001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5264394.12</v>
      </c>
      <c r="E21" s="149">
        <f>E11</f>
        <v>5708222.1600000001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4704124.28</v>
      </c>
      <c r="E26" s="232">
        <f>D21</f>
        <v>5264394.12</v>
      </c>
    </row>
    <row r="27" spans="2:6">
      <c r="B27" s="9" t="s">
        <v>17</v>
      </c>
      <c r="C27" s="10" t="s">
        <v>187</v>
      </c>
      <c r="D27" s="201">
        <v>-522809.28</v>
      </c>
      <c r="E27" s="225">
        <f>E28-E32</f>
        <v>761299.89999999979</v>
      </c>
      <c r="F27" s="72"/>
    </row>
    <row r="28" spans="2:6">
      <c r="B28" s="9" t="s">
        <v>18</v>
      </c>
      <c r="C28" s="10" t="s">
        <v>19</v>
      </c>
      <c r="D28" s="201">
        <v>283980.11</v>
      </c>
      <c r="E28" s="226">
        <f>E29+E30+E31</f>
        <v>1803081.14</v>
      </c>
      <c r="F28" s="72"/>
    </row>
    <row r="29" spans="2:6">
      <c r="B29" s="181" t="s">
        <v>4</v>
      </c>
      <c r="C29" s="174" t="s">
        <v>20</v>
      </c>
      <c r="D29" s="202">
        <v>52650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231330.11</v>
      </c>
      <c r="E31" s="227">
        <v>1803081.14</v>
      </c>
      <c r="F31" s="72"/>
    </row>
    <row r="32" spans="2:6">
      <c r="B32" s="93" t="s">
        <v>23</v>
      </c>
      <c r="C32" s="11" t="s">
        <v>24</v>
      </c>
      <c r="D32" s="201">
        <v>806789.39</v>
      </c>
      <c r="E32" s="226">
        <f>E33+E35+E37+E39</f>
        <v>1041781.2400000001</v>
      </c>
      <c r="F32" s="72"/>
    </row>
    <row r="33" spans="2:6">
      <c r="B33" s="181" t="s">
        <v>4</v>
      </c>
      <c r="C33" s="174" t="s">
        <v>25</v>
      </c>
      <c r="D33" s="202">
        <v>671508.83</v>
      </c>
      <c r="E33" s="227">
        <v>878332.87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16930.63</v>
      </c>
      <c r="E35" s="227">
        <v>24623.56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77454.41</v>
      </c>
      <c r="E37" s="227">
        <v>100960.44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40895.519999999997</v>
      </c>
      <c r="E39" s="228">
        <v>37864.370000000003</v>
      </c>
      <c r="F39" s="72"/>
    </row>
    <row r="40" spans="2:6" ht="13.5" thickBot="1">
      <c r="B40" s="98" t="s">
        <v>35</v>
      </c>
      <c r="C40" s="99" t="s">
        <v>36</v>
      </c>
      <c r="D40" s="204">
        <v>1083079.1200000001</v>
      </c>
      <c r="E40" s="233">
        <v>-317471.86</v>
      </c>
    </row>
    <row r="41" spans="2:6" ht="13.5" thickBot="1">
      <c r="B41" s="100" t="s">
        <v>37</v>
      </c>
      <c r="C41" s="101" t="s">
        <v>38</v>
      </c>
      <c r="D41" s="205">
        <v>5264394.12</v>
      </c>
      <c r="E41" s="149">
        <f>E26+E27+E40</f>
        <v>5708222.1599999992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217280.56700000001</v>
      </c>
      <c r="E47" s="150">
        <v>194905.37299999999</v>
      </c>
    </row>
    <row r="48" spans="2:6">
      <c r="B48" s="186" t="s">
        <v>6</v>
      </c>
      <c r="C48" s="187" t="s">
        <v>41</v>
      </c>
      <c r="D48" s="207">
        <v>194905.37299999999</v>
      </c>
      <c r="E48" s="336">
        <v>218957.505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21.65</v>
      </c>
      <c r="E50" s="236">
        <v>27.01</v>
      </c>
    </row>
    <row r="51" spans="2:5">
      <c r="B51" s="184" t="s">
        <v>6</v>
      </c>
      <c r="C51" s="185" t="s">
        <v>190</v>
      </c>
      <c r="D51" s="209">
        <v>21.65</v>
      </c>
      <c r="E51" s="237">
        <v>24.21</v>
      </c>
    </row>
    <row r="52" spans="2:5">
      <c r="B52" s="184" t="s">
        <v>8</v>
      </c>
      <c r="C52" s="185" t="s">
        <v>191</v>
      </c>
      <c r="D52" s="209">
        <v>27.49</v>
      </c>
      <c r="E52" s="237">
        <v>31.85</v>
      </c>
    </row>
    <row r="53" spans="2:5" ht="13.5" customHeight="1" thickBot="1">
      <c r="B53" s="188" t="s">
        <v>9</v>
      </c>
      <c r="C53" s="189" t="s">
        <v>41</v>
      </c>
      <c r="D53" s="210">
        <v>27.01</v>
      </c>
      <c r="E53" s="343">
        <v>26.07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5708222.1600000001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5708222.1600000001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5708222.1600000001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5708222.1600000001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207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283</v>
      </c>
    </row>
    <row r="11" spans="2:5">
      <c r="B11" s="91" t="s">
        <v>3</v>
      </c>
      <c r="C11" s="129" t="s">
        <v>185</v>
      </c>
      <c r="D11" s="257">
        <v>561298.48</v>
      </c>
      <c r="E11" s="232">
        <f>E12</f>
        <v>237494.78</v>
      </c>
    </row>
    <row r="12" spans="2:5">
      <c r="B12" s="173" t="s">
        <v>4</v>
      </c>
      <c r="C12" s="174" t="s">
        <v>5</v>
      </c>
      <c r="D12" s="261">
        <v>561298.48</v>
      </c>
      <c r="E12" s="349">
        <v>237494.78</v>
      </c>
    </row>
    <row r="13" spans="2:5">
      <c r="B13" s="173" t="s">
        <v>6</v>
      </c>
      <c r="C13" s="175" t="s">
        <v>7</v>
      </c>
      <c r="D13" s="261"/>
      <c r="E13" s="350"/>
    </row>
    <row r="14" spans="2:5">
      <c r="B14" s="173" t="s">
        <v>8</v>
      </c>
      <c r="C14" s="175" t="s">
        <v>10</v>
      </c>
      <c r="D14" s="261"/>
      <c r="E14" s="350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561298.48</v>
      </c>
      <c r="E21" s="149">
        <f>E11</f>
        <v>237494.78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283</v>
      </c>
    </row>
    <row r="26" spans="2:6">
      <c r="B26" s="96" t="s">
        <v>15</v>
      </c>
      <c r="C26" s="97" t="s">
        <v>16</v>
      </c>
      <c r="D26" s="200">
        <v>340748.63</v>
      </c>
      <c r="E26" s="232">
        <f>D21</f>
        <v>561298.48</v>
      </c>
    </row>
    <row r="27" spans="2:6">
      <c r="B27" s="9" t="s">
        <v>17</v>
      </c>
      <c r="C27" s="10" t="s">
        <v>187</v>
      </c>
      <c r="D27" s="201">
        <v>185780.36</v>
      </c>
      <c r="E27" s="225">
        <f>E28-E32</f>
        <v>-284062.61</v>
      </c>
      <c r="F27" s="72"/>
    </row>
    <row r="28" spans="2:6">
      <c r="B28" s="9" t="s">
        <v>18</v>
      </c>
      <c r="C28" s="10" t="s">
        <v>19</v>
      </c>
      <c r="D28" s="201">
        <v>319442.15999999997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319442.15999999997</v>
      </c>
      <c r="E31" s="227"/>
      <c r="F31" s="72"/>
    </row>
    <row r="32" spans="2:6">
      <c r="B32" s="93" t="s">
        <v>23</v>
      </c>
      <c r="C32" s="11" t="s">
        <v>24</v>
      </c>
      <c r="D32" s="201">
        <v>133661.79999999999</v>
      </c>
      <c r="E32" s="226">
        <f>E33+E35+E37+E39</f>
        <v>284062.61</v>
      </c>
      <c r="F32" s="72"/>
    </row>
    <row r="33" spans="2:6">
      <c r="B33" s="181" t="s">
        <v>4</v>
      </c>
      <c r="C33" s="174" t="s">
        <v>25</v>
      </c>
      <c r="D33" s="202">
        <v>124195.83</v>
      </c>
      <c r="E33" s="227">
        <v>261040.47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2324.79</v>
      </c>
      <c r="E35" s="227">
        <v>1713.48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7141.18</v>
      </c>
      <c r="E37" s="227">
        <v>6939.92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14368.74</v>
      </c>
      <c r="F39" s="72"/>
    </row>
    <row r="40" spans="2:6" ht="13.5" thickBot="1">
      <c r="B40" s="98" t="s">
        <v>35</v>
      </c>
      <c r="C40" s="99" t="s">
        <v>36</v>
      </c>
      <c r="D40" s="204">
        <v>34769.49</v>
      </c>
      <c r="E40" s="233">
        <v>-39741.089999999997</v>
      </c>
    </row>
    <row r="41" spans="2:6" ht="13.5" thickBot="1">
      <c r="B41" s="100" t="s">
        <v>37</v>
      </c>
      <c r="C41" s="101" t="s">
        <v>38</v>
      </c>
      <c r="D41" s="205">
        <v>561298.48</v>
      </c>
      <c r="E41" s="149">
        <f>E26+E27+E40</f>
        <v>237494.78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283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32986.315000000002</v>
      </c>
      <c r="E47" s="150">
        <v>50071.228999999999</v>
      </c>
    </row>
    <row r="48" spans="2:6">
      <c r="B48" s="186" t="s">
        <v>6</v>
      </c>
      <c r="C48" s="187" t="s">
        <v>41</v>
      </c>
      <c r="D48" s="207">
        <v>50071.228999999999</v>
      </c>
      <c r="E48" s="336">
        <v>23125.1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10.33</v>
      </c>
      <c r="E50" s="236">
        <v>11.21</v>
      </c>
    </row>
    <row r="51" spans="2:5">
      <c r="B51" s="184" t="s">
        <v>6</v>
      </c>
      <c r="C51" s="185" t="s">
        <v>190</v>
      </c>
      <c r="D51" s="209">
        <v>10.33</v>
      </c>
      <c r="E51" s="237">
        <v>10.08</v>
      </c>
    </row>
    <row r="52" spans="2:5">
      <c r="B52" s="184" t="s">
        <v>8</v>
      </c>
      <c r="C52" s="185" t="s">
        <v>191</v>
      </c>
      <c r="D52" s="209">
        <v>11.33</v>
      </c>
      <c r="E52" s="346">
        <v>11.29</v>
      </c>
    </row>
    <row r="53" spans="2:5" ht="13.5" thickBot="1">
      <c r="B53" s="188" t="s">
        <v>9</v>
      </c>
      <c r="C53" s="189" t="s">
        <v>41</v>
      </c>
      <c r="D53" s="210">
        <v>11.21</v>
      </c>
      <c r="E53" s="347">
        <v>10.27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237494.78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237494.78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237494.78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237494.78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217</v>
      </c>
      <c r="C6" s="356"/>
      <c r="D6" s="356"/>
      <c r="E6" s="356"/>
    </row>
    <row r="7" spans="2:5" ht="14.25">
      <c r="B7" s="197"/>
      <c r="C7" s="197"/>
      <c r="D7" s="197"/>
      <c r="E7" s="19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9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248882.82</v>
      </c>
      <c r="E11" s="258">
        <f>E12</f>
        <v>237202.49</v>
      </c>
    </row>
    <row r="12" spans="2:5">
      <c r="B12" s="173" t="s">
        <v>4</v>
      </c>
      <c r="C12" s="174" t="s">
        <v>5</v>
      </c>
      <c r="D12" s="261">
        <v>248882.82</v>
      </c>
      <c r="E12" s="337">
        <v>237202.49</v>
      </c>
    </row>
    <row r="13" spans="2:5">
      <c r="B13" s="173" t="s">
        <v>6</v>
      </c>
      <c r="C13" s="175" t="s">
        <v>7</v>
      </c>
      <c r="D13" s="261"/>
      <c r="E13" s="350"/>
    </row>
    <row r="14" spans="2:5">
      <c r="B14" s="173" t="s">
        <v>8</v>
      </c>
      <c r="C14" s="175" t="s">
        <v>10</v>
      </c>
      <c r="D14" s="261"/>
      <c r="E14" s="350"/>
    </row>
    <row r="15" spans="2:5">
      <c r="B15" s="173" t="s">
        <v>182</v>
      </c>
      <c r="C15" s="175" t="s">
        <v>11</v>
      </c>
      <c r="D15" s="261"/>
      <c r="E15" s="350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248882.82</v>
      </c>
      <c r="E21" s="149">
        <f>E11</f>
        <v>237202.49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0</v>
      </c>
      <c r="E26" s="232">
        <f>D21</f>
        <v>248882.82</v>
      </c>
    </row>
    <row r="27" spans="2:6">
      <c r="B27" s="9" t="s">
        <v>17</v>
      </c>
      <c r="C27" s="10" t="s">
        <v>187</v>
      </c>
      <c r="D27" s="201">
        <v>258116.84999999986</v>
      </c>
      <c r="E27" s="225">
        <f>E28-E32</f>
        <v>-3820.1</v>
      </c>
      <c r="F27" s="72"/>
    </row>
    <row r="28" spans="2:6">
      <c r="B28" s="9" t="s">
        <v>18</v>
      </c>
      <c r="C28" s="10" t="s">
        <v>19</v>
      </c>
      <c r="D28" s="201">
        <v>1725926.7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1725926.7</v>
      </c>
      <c r="E31" s="227"/>
      <c r="F31" s="72"/>
    </row>
    <row r="32" spans="2:6">
      <c r="B32" s="93" t="s">
        <v>23</v>
      </c>
      <c r="C32" s="11" t="s">
        <v>24</v>
      </c>
      <c r="D32" s="201">
        <v>1467809.85</v>
      </c>
      <c r="E32" s="226">
        <f>E33+E35+E37+E39</f>
        <v>3820.1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13762.25</v>
      </c>
      <c r="E37" s="227">
        <v>3820.1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1454047.6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-9234.0300000000007</v>
      </c>
      <c r="E40" s="233">
        <v>-7860.23</v>
      </c>
    </row>
    <row r="41" spans="2:6" ht="13.5" thickBot="1">
      <c r="B41" s="100" t="s">
        <v>37</v>
      </c>
      <c r="C41" s="101" t="s">
        <v>38</v>
      </c>
      <c r="D41" s="205">
        <v>248882.81999999986</v>
      </c>
      <c r="E41" s="149">
        <f>E26+E27+E40</f>
        <v>237202.49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/>
      <c r="E47" s="150">
        <v>2434.538</v>
      </c>
    </row>
    <row r="48" spans="2:6">
      <c r="B48" s="186" t="s">
        <v>6</v>
      </c>
      <c r="C48" s="187" t="s">
        <v>41</v>
      </c>
      <c r="D48" s="207">
        <v>2434.538</v>
      </c>
      <c r="E48" s="334">
        <v>2396.7109999999998</v>
      </c>
    </row>
    <row r="49" spans="2:5">
      <c r="B49" s="121" t="s">
        <v>23</v>
      </c>
      <c r="C49" s="125" t="s">
        <v>189</v>
      </c>
      <c r="D49" s="208"/>
      <c r="E49" s="254"/>
    </row>
    <row r="50" spans="2:5">
      <c r="B50" s="184" t="s">
        <v>4</v>
      </c>
      <c r="C50" s="185" t="s">
        <v>40</v>
      </c>
      <c r="D50" s="206"/>
      <c r="E50" s="150">
        <v>102.23</v>
      </c>
    </row>
    <row r="51" spans="2:5">
      <c r="B51" s="184" t="s">
        <v>6</v>
      </c>
      <c r="C51" s="185" t="s">
        <v>190</v>
      </c>
      <c r="D51" s="209">
        <v>101.56</v>
      </c>
      <c r="E51" s="76">
        <v>97.83</v>
      </c>
    </row>
    <row r="52" spans="2:5">
      <c r="B52" s="184" t="s">
        <v>8</v>
      </c>
      <c r="C52" s="185" t="s">
        <v>191</v>
      </c>
      <c r="D52" s="209">
        <v>104.62</v>
      </c>
      <c r="E52" s="76">
        <v>104.63</v>
      </c>
    </row>
    <row r="53" spans="2:5" ht="13.5" thickBot="1">
      <c r="B53" s="188" t="s">
        <v>9</v>
      </c>
      <c r="C53" s="189" t="s">
        <v>41</v>
      </c>
      <c r="D53" s="210">
        <v>102.23</v>
      </c>
      <c r="E53" s="343">
        <v>98.97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237202.49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237202.49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237202.49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237202.49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116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431685.91</v>
      </c>
      <c r="E11" s="232">
        <f>E12</f>
        <v>495016.01</v>
      </c>
    </row>
    <row r="12" spans="2:5">
      <c r="B12" s="173" t="s">
        <v>4</v>
      </c>
      <c r="C12" s="174" t="s">
        <v>5</v>
      </c>
      <c r="D12" s="261">
        <v>431685.91</v>
      </c>
      <c r="E12" s="349">
        <v>495016.01</v>
      </c>
    </row>
    <row r="13" spans="2:5">
      <c r="B13" s="173" t="s">
        <v>6</v>
      </c>
      <c r="C13" s="175" t="s">
        <v>7</v>
      </c>
      <c r="D13" s="261"/>
      <c r="E13" s="350"/>
    </row>
    <row r="14" spans="2:5">
      <c r="B14" s="173" t="s">
        <v>8</v>
      </c>
      <c r="C14" s="175" t="s">
        <v>10</v>
      </c>
      <c r="D14" s="261"/>
      <c r="E14" s="350"/>
    </row>
    <row r="15" spans="2:5">
      <c r="B15" s="173" t="s">
        <v>182</v>
      </c>
      <c r="C15" s="175" t="s">
        <v>11</v>
      </c>
      <c r="D15" s="261"/>
      <c r="E15" s="350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431685.91</v>
      </c>
      <c r="E21" s="149">
        <f>E11</f>
        <v>495016.01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318">
        <v>334733.42</v>
      </c>
      <c r="E26" s="232">
        <f>D21</f>
        <v>431685.91</v>
      </c>
    </row>
    <row r="27" spans="2:6">
      <c r="B27" s="9" t="s">
        <v>17</v>
      </c>
      <c r="C27" s="10" t="s">
        <v>187</v>
      </c>
      <c r="D27" s="319">
        <v>-48205.509999999893</v>
      </c>
      <c r="E27" s="225">
        <f>E28-E32</f>
        <v>181063.98000000004</v>
      </c>
      <c r="F27" s="72"/>
    </row>
    <row r="28" spans="2:6">
      <c r="B28" s="9" t="s">
        <v>18</v>
      </c>
      <c r="C28" s="10" t="s">
        <v>19</v>
      </c>
      <c r="D28" s="319">
        <v>966903.68</v>
      </c>
      <c r="E28" s="226">
        <f>E29+E30+E31</f>
        <v>442788.02</v>
      </c>
      <c r="F28" s="72"/>
    </row>
    <row r="29" spans="2:6">
      <c r="B29" s="181" t="s">
        <v>4</v>
      </c>
      <c r="C29" s="174" t="s">
        <v>20</v>
      </c>
      <c r="D29" s="320"/>
      <c r="E29" s="227"/>
      <c r="F29" s="72"/>
    </row>
    <row r="30" spans="2:6">
      <c r="B30" s="181" t="s">
        <v>6</v>
      </c>
      <c r="C30" s="174" t="s">
        <v>21</v>
      </c>
      <c r="D30" s="320"/>
      <c r="E30" s="227"/>
      <c r="F30" s="72"/>
    </row>
    <row r="31" spans="2:6">
      <c r="B31" s="181" t="s">
        <v>8</v>
      </c>
      <c r="C31" s="174" t="s">
        <v>22</v>
      </c>
      <c r="D31" s="320">
        <v>966903.68</v>
      </c>
      <c r="E31" s="227">
        <v>442788.02</v>
      </c>
      <c r="F31" s="72"/>
    </row>
    <row r="32" spans="2:6">
      <c r="B32" s="93" t="s">
        <v>23</v>
      </c>
      <c r="C32" s="11" t="s">
        <v>24</v>
      </c>
      <c r="D32" s="319">
        <v>1015109.19</v>
      </c>
      <c r="E32" s="226">
        <f>E33+E35+E37+E39</f>
        <v>261724.03999999998</v>
      </c>
      <c r="F32" s="72"/>
    </row>
    <row r="33" spans="2:6">
      <c r="B33" s="181" t="s">
        <v>4</v>
      </c>
      <c r="C33" s="174" t="s">
        <v>25</v>
      </c>
      <c r="D33" s="320">
        <v>972548.39</v>
      </c>
      <c r="E33" s="227">
        <v>210460.39</v>
      </c>
      <c r="F33" s="72"/>
    </row>
    <row r="34" spans="2:6">
      <c r="B34" s="181" t="s">
        <v>6</v>
      </c>
      <c r="C34" s="174" t="s">
        <v>26</v>
      </c>
      <c r="D34" s="320"/>
      <c r="E34" s="227"/>
      <c r="F34" s="72"/>
    </row>
    <row r="35" spans="2:6">
      <c r="B35" s="181" t="s">
        <v>8</v>
      </c>
      <c r="C35" s="174" t="s">
        <v>27</v>
      </c>
      <c r="D35" s="320">
        <v>324.45</v>
      </c>
      <c r="E35" s="227">
        <v>1161.83</v>
      </c>
      <c r="F35" s="72"/>
    </row>
    <row r="36" spans="2:6">
      <c r="B36" s="181" t="s">
        <v>9</v>
      </c>
      <c r="C36" s="174" t="s">
        <v>28</v>
      </c>
      <c r="D36" s="320"/>
      <c r="E36" s="227"/>
      <c r="F36" s="72"/>
    </row>
    <row r="37" spans="2:6" ht="25.5">
      <c r="B37" s="181" t="s">
        <v>29</v>
      </c>
      <c r="C37" s="174" t="s">
        <v>30</v>
      </c>
      <c r="D37" s="320">
        <v>14111.97</v>
      </c>
      <c r="E37" s="227">
        <v>12869.96</v>
      </c>
      <c r="F37" s="72"/>
    </row>
    <row r="38" spans="2:6">
      <c r="B38" s="181" t="s">
        <v>31</v>
      </c>
      <c r="C38" s="174" t="s">
        <v>32</v>
      </c>
      <c r="D38" s="320"/>
      <c r="E38" s="227"/>
      <c r="F38" s="72"/>
    </row>
    <row r="39" spans="2:6">
      <c r="B39" s="182" t="s">
        <v>33</v>
      </c>
      <c r="C39" s="183" t="s">
        <v>34</v>
      </c>
      <c r="D39" s="321">
        <v>28124.38</v>
      </c>
      <c r="E39" s="228">
        <v>37231.86</v>
      </c>
      <c r="F39" s="72"/>
    </row>
    <row r="40" spans="2:6" ht="13.5" thickBot="1">
      <c r="B40" s="98" t="s">
        <v>35</v>
      </c>
      <c r="C40" s="99" t="s">
        <v>36</v>
      </c>
      <c r="D40" s="322">
        <v>145158</v>
      </c>
      <c r="E40" s="233">
        <v>-117733.88</v>
      </c>
    </row>
    <row r="41" spans="2:6" ht="13.5" thickBot="1">
      <c r="B41" s="100" t="s">
        <v>37</v>
      </c>
      <c r="C41" s="101" t="s">
        <v>38</v>
      </c>
      <c r="D41" s="269">
        <v>431685.91000000009</v>
      </c>
      <c r="E41" s="149">
        <f>E26+E27+E40</f>
        <v>495016.01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87">
        <v>1324.8373999999999</v>
      </c>
      <c r="E47" s="150">
        <v>1416.5712000000001</v>
      </c>
    </row>
    <row r="48" spans="2:6">
      <c r="B48" s="186" t="s">
        <v>6</v>
      </c>
      <c r="C48" s="187" t="s">
        <v>41</v>
      </c>
      <c r="D48" s="290">
        <v>1416.5712000000001</v>
      </c>
      <c r="E48" s="336">
        <v>1968.6459</v>
      </c>
    </row>
    <row r="49" spans="2:5">
      <c r="B49" s="121" t="s">
        <v>23</v>
      </c>
      <c r="C49" s="125" t="s">
        <v>189</v>
      </c>
      <c r="D49" s="289"/>
      <c r="E49" s="236"/>
    </row>
    <row r="50" spans="2:5">
      <c r="B50" s="184" t="s">
        <v>4</v>
      </c>
      <c r="C50" s="185" t="s">
        <v>40</v>
      </c>
      <c r="D50" s="323">
        <v>252.66</v>
      </c>
      <c r="E50" s="236">
        <v>304.74</v>
      </c>
    </row>
    <row r="51" spans="2:5">
      <c r="B51" s="184" t="s">
        <v>6</v>
      </c>
      <c r="C51" s="185" t="s">
        <v>190</v>
      </c>
      <c r="D51" s="324">
        <v>252.66</v>
      </c>
      <c r="E51" s="236">
        <v>247.7</v>
      </c>
    </row>
    <row r="52" spans="2:5">
      <c r="B52" s="184" t="s">
        <v>8</v>
      </c>
      <c r="C52" s="185" t="s">
        <v>191</v>
      </c>
      <c r="D52" s="324">
        <v>309.89999999999998</v>
      </c>
      <c r="E52" s="237">
        <v>346.85</v>
      </c>
    </row>
    <row r="53" spans="2:5" ht="14.25" customHeight="1" thickBot="1">
      <c r="B53" s="188" t="s">
        <v>9</v>
      </c>
      <c r="C53" s="189" t="s">
        <v>41</v>
      </c>
      <c r="D53" s="210">
        <v>304.74</v>
      </c>
      <c r="E53" s="335">
        <v>251.45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495016.01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495016.01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495016.01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495016.01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208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151435.88</v>
      </c>
      <c r="E11" s="258">
        <f>E12</f>
        <v>133581.01999999999</v>
      </c>
    </row>
    <row r="12" spans="2:5">
      <c r="B12" s="173" t="s">
        <v>4</v>
      </c>
      <c r="C12" s="174" t="s">
        <v>5</v>
      </c>
      <c r="D12" s="261">
        <v>151435.88</v>
      </c>
      <c r="E12" s="337">
        <v>133581.01999999999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151435.88</v>
      </c>
      <c r="E21" s="149">
        <f>E11</f>
        <v>133581.01999999999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14570.9</v>
      </c>
      <c r="E26" s="232">
        <f>D21</f>
        <v>151435.88</v>
      </c>
    </row>
    <row r="27" spans="2:6">
      <c r="B27" s="9" t="s">
        <v>17</v>
      </c>
      <c r="C27" s="10" t="s">
        <v>187</v>
      </c>
      <c r="D27" s="201">
        <v>122641.96</v>
      </c>
      <c r="E27" s="225">
        <f>E28-E32</f>
        <v>2035.3000000000175</v>
      </c>
      <c r="F27" s="72"/>
    </row>
    <row r="28" spans="2:6">
      <c r="B28" s="9" t="s">
        <v>18</v>
      </c>
      <c r="C28" s="10" t="s">
        <v>19</v>
      </c>
      <c r="D28" s="201">
        <v>140185.73000000001</v>
      </c>
      <c r="E28" s="226">
        <f>E29+E30+E31</f>
        <v>144657.85</v>
      </c>
      <c r="F28" s="72"/>
    </row>
    <row r="29" spans="2:6">
      <c r="B29" s="181" t="s">
        <v>4</v>
      </c>
      <c r="C29" s="174" t="s">
        <v>20</v>
      </c>
      <c r="D29" s="202">
        <v>3320.14</v>
      </c>
      <c r="E29" s="227">
        <v>11891.2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136865.59</v>
      </c>
      <c r="E31" s="227">
        <v>132766.65</v>
      </c>
      <c r="F31" s="72"/>
    </row>
    <row r="32" spans="2:6">
      <c r="B32" s="93" t="s">
        <v>23</v>
      </c>
      <c r="C32" s="11" t="s">
        <v>24</v>
      </c>
      <c r="D32" s="201">
        <v>17543.77</v>
      </c>
      <c r="E32" s="226">
        <f>E33+E35+E37+E39</f>
        <v>142622.54999999999</v>
      </c>
      <c r="F32" s="72"/>
    </row>
    <row r="33" spans="2:6">
      <c r="B33" s="181" t="s">
        <v>4</v>
      </c>
      <c r="C33" s="174" t="s">
        <v>25</v>
      </c>
      <c r="D33" s="202">
        <v>4451</v>
      </c>
      <c r="E33" s="227">
        <v>8354.07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176.81</v>
      </c>
      <c r="E35" s="227">
        <v>672.82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674.73</v>
      </c>
      <c r="E37" s="227">
        <v>1573.08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12241.23</v>
      </c>
      <c r="E39" s="228">
        <v>132022.57999999999</v>
      </c>
      <c r="F39" s="72"/>
    </row>
    <row r="40" spans="2:6" ht="13.5" thickBot="1">
      <c r="B40" s="98" t="s">
        <v>35</v>
      </c>
      <c r="C40" s="99" t="s">
        <v>36</v>
      </c>
      <c r="D40" s="204">
        <v>14223.02</v>
      </c>
      <c r="E40" s="233">
        <v>-19890.16</v>
      </c>
    </row>
    <row r="41" spans="2:6" ht="13.5" thickBot="1">
      <c r="B41" s="100" t="s">
        <v>37</v>
      </c>
      <c r="C41" s="101" t="s">
        <v>38</v>
      </c>
      <c r="D41" s="205">
        <v>151435.88</v>
      </c>
      <c r="E41" s="149">
        <f>E26+E27+E40</f>
        <v>133581.02000000002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41.057499999999997</v>
      </c>
      <c r="E47" s="150">
        <v>345.00360000000001</v>
      </c>
    </row>
    <row r="48" spans="2:6">
      <c r="B48" s="186" t="s">
        <v>6</v>
      </c>
      <c r="C48" s="187" t="s">
        <v>41</v>
      </c>
      <c r="D48" s="207">
        <v>345.00360000000001</v>
      </c>
      <c r="E48" s="336">
        <v>322.20030000000003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354.89</v>
      </c>
      <c r="E50" s="236">
        <v>438.94</v>
      </c>
    </row>
    <row r="51" spans="2:5">
      <c r="B51" s="184" t="s">
        <v>6</v>
      </c>
      <c r="C51" s="185" t="s">
        <v>190</v>
      </c>
      <c r="D51" s="209">
        <v>354.89</v>
      </c>
      <c r="E51" s="236">
        <v>403.66</v>
      </c>
    </row>
    <row r="52" spans="2:5">
      <c r="B52" s="184" t="s">
        <v>8</v>
      </c>
      <c r="C52" s="185" t="s">
        <v>191</v>
      </c>
      <c r="D52" s="209">
        <v>445.24</v>
      </c>
      <c r="E52" s="237">
        <v>502.82</v>
      </c>
    </row>
    <row r="53" spans="2:5" ht="13.5" customHeight="1" thickBot="1">
      <c r="B53" s="188" t="s">
        <v>9</v>
      </c>
      <c r="C53" s="189" t="s">
        <v>41</v>
      </c>
      <c r="D53" s="210">
        <v>438.94</v>
      </c>
      <c r="E53" s="343">
        <v>414.59</v>
      </c>
    </row>
    <row r="54" spans="2:5">
      <c r="B54" s="110"/>
      <c r="C54" s="111"/>
      <c r="D54" s="112"/>
      <c r="E54" s="199"/>
    </row>
    <row r="55" spans="2:5" ht="13.5">
      <c r="B55" s="359" t="s">
        <v>62</v>
      </c>
      <c r="C55" s="360"/>
      <c r="D55" s="360"/>
      <c r="E55" s="360"/>
    </row>
    <row r="56" spans="2:5" ht="20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133581.01999999999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133581.01999999999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133581.01999999999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133581.01999999999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4.71093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21" customHeight="1">
      <c r="B5" s="355" t="s">
        <v>1</v>
      </c>
      <c r="C5" s="355"/>
      <c r="D5" s="355"/>
      <c r="E5" s="355"/>
    </row>
    <row r="6" spans="2:8" ht="14.25">
      <c r="B6" s="356" t="s">
        <v>88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29" t="s">
        <v>185</v>
      </c>
      <c r="D11" s="257">
        <v>46898408.069999993</v>
      </c>
      <c r="E11" s="258">
        <f>E12+E13+E14</f>
        <v>41286140.060000002</v>
      </c>
    </row>
    <row r="12" spans="2:8">
      <c r="B12" s="107" t="s">
        <v>4</v>
      </c>
      <c r="C12" s="6" t="s">
        <v>5</v>
      </c>
      <c r="D12" s="261">
        <v>46759038.809999995</v>
      </c>
      <c r="E12" s="262">
        <f>41755246.15-614927.58</f>
        <v>41140318.57</v>
      </c>
    </row>
    <row r="13" spans="2:8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v>139369.25999999998</v>
      </c>
      <c r="E14" s="262">
        <f>E15</f>
        <v>145821.49</v>
      </c>
    </row>
    <row r="15" spans="2:8">
      <c r="B15" s="107" t="s">
        <v>182</v>
      </c>
      <c r="C15" s="69" t="s">
        <v>11</v>
      </c>
      <c r="D15" s="261">
        <v>139369.25999999998</v>
      </c>
      <c r="E15" s="262">
        <v>145821.49</v>
      </c>
    </row>
    <row r="16" spans="2:8">
      <c r="B16" s="108" t="s">
        <v>183</v>
      </c>
      <c r="C16" s="92" t="s">
        <v>12</v>
      </c>
      <c r="D16" s="263"/>
      <c r="E16" s="264"/>
    </row>
    <row r="17" spans="2:7">
      <c r="B17" s="9" t="s">
        <v>13</v>
      </c>
      <c r="C17" s="11" t="s">
        <v>65</v>
      </c>
      <c r="D17" s="296">
        <v>109469.7</v>
      </c>
      <c r="E17" s="266">
        <f>SUM(E18:E19)</f>
        <v>82065.37</v>
      </c>
    </row>
    <row r="18" spans="2:7">
      <c r="B18" s="107" t="s">
        <v>4</v>
      </c>
      <c r="C18" s="6" t="s">
        <v>11</v>
      </c>
      <c r="D18" s="261">
        <v>109469.7</v>
      </c>
      <c r="E18" s="299">
        <v>82065.37</v>
      </c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v>46788938.36999999</v>
      </c>
      <c r="E21" s="149">
        <f>E11-E17</f>
        <v>41204074.690000005</v>
      </c>
      <c r="F21" s="78"/>
      <c r="G21" s="68"/>
    </row>
    <row r="22" spans="2:7">
      <c r="B22" s="3"/>
      <c r="C22" s="7"/>
      <c r="D22" s="8"/>
      <c r="E22" s="8"/>
    </row>
    <row r="23" spans="2:7" ht="13.5">
      <c r="B23" s="358" t="s">
        <v>180</v>
      </c>
      <c r="C23" s="366"/>
      <c r="D23" s="366"/>
      <c r="E23" s="366"/>
    </row>
    <row r="24" spans="2:7" ht="16.5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41553077.079999991</v>
      </c>
      <c r="E26" s="232">
        <f>D21</f>
        <v>46788938.36999999</v>
      </c>
    </row>
    <row r="27" spans="2:7">
      <c r="B27" s="9" t="s">
        <v>17</v>
      </c>
      <c r="C27" s="10" t="s">
        <v>187</v>
      </c>
      <c r="D27" s="201">
        <v>337545.76999999955</v>
      </c>
      <c r="E27" s="225">
        <f>E28-E32</f>
        <v>-779617.1400000006</v>
      </c>
      <c r="F27" s="72"/>
    </row>
    <row r="28" spans="2:7">
      <c r="B28" s="9" t="s">
        <v>18</v>
      </c>
      <c r="C28" s="10" t="s">
        <v>19</v>
      </c>
      <c r="D28" s="201">
        <v>9216127.2599999998</v>
      </c>
      <c r="E28" s="226">
        <v>7881761.7699999996</v>
      </c>
      <c r="F28" s="72"/>
    </row>
    <row r="29" spans="2:7">
      <c r="B29" s="105" t="s">
        <v>4</v>
      </c>
      <c r="C29" s="6" t="s">
        <v>20</v>
      </c>
      <c r="D29" s="202">
        <v>8325755.4699999997</v>
      </c>
      <c r="E29" s="227">
        <v>7409455.7199999997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890371.79</v>
      </c>
      <c r="E31" s="227">
        <v>472306.05</v>
      </c>
      <c r="F31" s="72"/>
    </row>
    <row r="32" spans="2:7">
      <c r="B32" s="93" t="s">
        <v>23</v>
      </c>
      <c r="C32" s="11" t="s">
        <v>24</v>
      </c>
      <c r="D32" s="201">
        <v>8878581.4900000002</v>
      </c>
      <c r="E32" s="226">
        <f>SUM(E33:E39)</f>
        <v>8661378.9100000001</v>
      </c>
      <c r="F32" s="72"/>
    </row>
    <row r="33" spans="2:6">
      <c r="B33" s="105" t="s">
        <v>4</v>
      </c>
      <c r="C33" s="6" t="s">
        <v>25</v>
      </c>
      <c r="D33" s="202">
        <v>6304908.9400000004</v>
      </c>
      <c r="E33" s="227">
        <f>6104397.84+222443.81</f>
        <v>6326841.6499999994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1598218.39</v>
      </c>
      <c r="E35" s="227">
        <v>1473522.86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975454.16</v>
      </c>
      <c r="E39" s="228">
        <v>861014.4</v>
      </c>
      <c r="F39" s="72"/>
    </row>
    <row r="40" spans="2:6" ht="13.5" thickBot="1">
      <c r="B40" s="98" t="s">
        <v>35</v>
      </c>
      <c r="C40" s="99" t="s">
        <v>36</v>
      </c>
      <c r="D40" s="204">
        <v>4898315.5199999996</v>
      </c>
      <c r="E40" s="233">
        <v>-4805246.54</v>
      </c>
    </row>
    <row r="41" spans="2:6" ht="13.5" thickBot="1">
      <c r="B41" s="100" t="s">
        <v>37</v>
      </c>
      <c r="C41" s="101" t="s">
        <v>38</v>
      </c>
      <c r="D41" s="205">
        <v>46788938.36999999</v>
      </c>
      <c r="E41" s="149">
        <f>E26+E27+E40</f>
        <v>41204074.68999999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5.7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4313851.9448238108</v>
      </c>
      <c r="E47" s="74">
        <v>4346746.3946000002</v>
      </c>
    </row>
    <row r="48" spans="2:6">
      <c r="B48" s="124" t="s">
        <v>6</v>
      </c>
      <c r="C48" s="22" t="s">
        <v>41</v>
      </c>
      <c r="D48" s="207">
        <v>4346746.3946000002</v>
      </c>
      <c r="E48" s="302">
        <v>4267730.58715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9.6324764065812492</v>
      </c>
      <c r="E50" s="74">
        <v>10.7641288729998</v>
      </c>
    </row>
    <row r="51" spans="2:5">
      <c r="B51" s="103" t="s">
        <v>6</v>
      </c>
      <c r="C51" s="15" t="s">
        <v>190</v>
      </c>
      <c r="D51" s="294">
        <v>9.6325000000000003</v>
      </c>
      <c r="E51" s="76">
        <v>9.2438000000000002</v>
      </c>
    </row>
    <row r="52" spans="2:5" ht="12.75" customHeight="1">
      <c r="B52" s="103" t="s">
        <v>8</v>
      </c>
      <c r="C52" s="15" t="s">
        <v>191</v>
      </c>
      <c r="D52" s="294">
        <v>11.121600000000001</v>
      </c>
      <c r="E52" s="76">
        <v>11.3451</v>
      </c>
    </row>
    <row r="53" spans="2:5" ht="13.5" thickBot="1">
      <c r="B53" s="104" t="s">
        <v>9</v>
      </c>
      <c r="C53" s="17" t="s">
        <v>41</v>
      </c>
      <c r="D53" s="210">
        <v>10.7641288729998</v>
      </c>
      <c r="E53" s="234">
        <v>9.6547975202813507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41140318.57</v>
      </c>
      <c r="E58" s="32">
        <f>D58/E21</f>
        <v>0.99845267439010155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41503964.22-614927.58</f>
        <v>40889036.640000001</v>
      </c>
      <c r="E64" s="82">
        <f>D64/E21</f>
        <v>0.99235420155967091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251281.93</v>
      </c>
      <c r="E69" s="80">
        <f>D69/E21</f>
        <v>6.0984728304306441E-3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145821.49</v>
      </c>
      <c r="E72" s="120">
        <f>D72/E21</f>
        <v>3.5390065447917954E-3</v>
      </c>
    </row>
    <row r="73" spans="2:5">
      <c r="B73" s="23" t="s">
        <v>62</v>
      </c>
      <c r="C73" s="24" t="s">
        <v>65</v>
      </c>
      <c r="D73" s="25">
        <f>E17</f>
        <v>82065.37</v>
      </c>
      <c r="E73" s="26">
        <f>D73/E21</f>
        <v>1.9916809348934804E-3</v>
      </c>
    </row>
    <row r="74" spans="2:5">
      <c r="B74" s="121" t="s">
        <v>64</v>
      </c>
      <c r="C74" s="122" t="s">
        <v>66</v>
      </c>
      <c r="D74" s="123">
        <f>D58+D71+D72-D73</f>
        <v>41204074.690000005</v>
      </c>
      <c r="E74" s="67">
        <f>E58+E72-E73</f>
        <v>1</v>
      </c>
    </row>
    <row r="75" spans="2:5">
      <c r="B75" s="14" t="s">
        <v>4</v>
      </c>
      <c r="C75" s="15" t="s">
        <v>67</v>
      </c>
      <c r="D75" s="79">
        <f>D74</f>
        <v>41204074.690000005</v>
      </c>
      <c r="E75" s="80">
        <f>E74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118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323622.02</v>
      </c>
      <c r="E11" s="258">
        <f>E12</f>
        <v>184427.76</v>
      </c>
    </row>
    <row r="12" spans="2:5">
      <c r="B12" s="107" t="s">
        <v>4</v>
      </c>
      <c r="C12" s="6" t="s">
        <v>5</v>
      </c>
      <c r="D12" s="261">
        <v>323622.02</v>
      </c>
      <c r="E12" s="337">
        <f>184434.84-7.08</f>
        <v>184427.76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323622.02</v>
      </c>
      <c r="E21" s="149">
        <f>E11</f>
        <v>184427.76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36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245243.76</v>
      </c>
      <c r="E26" s="232">
        <f>D21</f>
        <v>323622.02</v>
      </c>
    </row>
    <row r="27" spans="2:6">
      <c r="B27" s="9" t="s">
        <v>17</v>
      </c>
      <c r="C27" s="10" t="s">
        <v>187</v>
      </c>
      <c r="D27" s="201">
        <v>23803.039999999979</v>
      </c>
      <c r="E27" s="225">
        <f>E28-E32</f>
        <v>-98500.09</v>
      </c>
      <c r="F27" s="72"/>
    </row>
    <row r="28" spans="2:6">
      <c r="B28" s="9" t="s">
        <v>18</v>
      </c>
      <c r="C28" s="10" t="s">
        <v>19</v>
      </c>
      <c r="D28" s="201">
        <v>395110.45</v>
      </c>
      <c r="E28" s="226">
        <f>E29+E30+E31</f>
        <v>22870.080000000002</v>
      </c>
      <c r="F28" s="72"/>
    </row>
    <row r="29" spans="2:6">
      <c r="B29" s="105" t="s">
        <v>4</v>
      </c>
      <c r="C29" s="6" t="s">
        <v>20</v>
      </c>
      <c r="D29" s="202">
        <v>14269.36</v>
      </c>
      <c r="E29" s="227">
        <v>16185.93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380841.09</v>
      </c>
      <c r="E31" s="227">
        <v>6684.15</v>
      </c>
      <c r="F31" s="72"/>
    </row>
    <row r="32" spans="2:6">
      <c r="B32" s="93" t="s">
        <v>23</v>
      </c>
      <c r="C32" s="11" t="s">
        <v>24</v>
      </c>
      <c r="D32" s="201">
        <v>371307.41000000003</v>
      </c>
      <c r="E32" s="226">
        <f>E33+E35+E37+E39</f>
        <v>121370.17</v>
      </c>
      <c r="F32" s="72"/>
    </row>
    <row r="33" spans="2:6">
      <c r="B33" s="105" t="s">
        <v>4</v>
      </c>
      <c r="C33" s="6" t="s">
        <v>25</v>
      </c>
      <c r="D33" s="202">
        <v>241092.35</v>
      </c>
      <c r="E33" s="227">
        <f>51913.85-1.27</f>
        <v>51912.58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1247.73</v>
      </c>
      <c r="E35" s="227">
        <v>1154.6400000000001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6798.87</v>
      </c>
      <c r="E37" s="227">
        <v>3628.21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122168.46</v>
      </c>
      <c r="E39" s="228">
        <v>64674.74</v>
      </c>
      <c r="F39" s="72"/>
    </row>
    <row r="40" spans="2:6" ht="13.5" thickBot="1">
      <c r="B40" s="98" t="s">
        <v>35</v>
      </c>
      <c r="C40" s="99" t="s">
        <v>36</v>
      </c>
      <c r="D40" s="204">
        <v>54575.22</v>
      </c>
      <c r="E40" s="233">
        <v>-40694.17</v>
      </c>
    </row>
    <row r="41" spans="2:6" ht="13.5" thickBot="1">
      <c r="B41" s="100" t="s">
        <v>37</v>
      </c>
      <c r="C41" s="101" t="s">
        <v>38</v>
      </c>
      <c r="D41" s="205">
        <v>323622.02</v>
      </c>
      <c r="E41" s="149">
        <f>E26+E27+E40</f>
        <v>184427.76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972.84209999999996</v>
      </c>
      <c r="E47" s="150">
        <v>1100.6803</v>
      </c>
    </row>
    <row r="48" spans="2:6">
      <c r="B48" s="124" t="s">
        <v>6</v>
      </c>
      <c r="C48" s="22" t="s">
        <v>41</v>
      </c>
      <c r="D48" s="207">
        <v>1100.6803</v>
      </c>
      <c r="E48" s="336">
        <v>739.42650000000003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03" t="s">
        <v>4</v>
      </c>
      <c r="C50" s="15" t="s">
        <v>40</v>
      </c>
      <c r="D50" s="206">
        <v>252.09</v>
      </c>
      <c r="E50" s="236">
        <v>294.02</v>
      </c>
    </row>
    <row r="51" spans="2:5">
      <c r="B51" s="103" t="s">
        <v>6</v>
      </c>
      <c r="C51" s="15" t="s">
        <v>190</v>
      </c>
      <c r="D51" s="209">
        <v>252.09</v>
      </c>
      <c r="E51" s="237">
        <v>246.46</v>
      </c>
    </row>
    <row r="52" spans="2:5">
      <c r="B52" s="103" t="s">
        <v>8</v>
      </c>
      <c r="C52" s="15" t="s">
        <v>191</v>
      </c>
      <c r="D52" s="209">
        <v>301.85000000000002</v>
      </c>
      <c r="E52" s="237">
        <v>307.20999999999998</v>
      </c>
    </row>
    <row r="53" spans="2:5" ht="12.75" customHeight="1" thickBot="1">
      <c r="B53" s="104" t="s">
        <v>9</v>
      </c>
      <c r="C53" s="17" t="s">
        <v>41</v>
      </c>
      <c r="D53" s="210">
        <v>294.02</v>
      </c>
      <c r="E53" s="343">
        <v>249.42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184427.76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184427.76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184427.76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184427.76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123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1722218.72</v>
      </c>
      <c r="E11" s="258">
        <f>E12</f>
        <v>1162478.51</v>
      </c>
    </row>
    <row r="12" spans="2:5">
      <c r="B12" s="173" t="s">
        <v>4</v>
      </c>
      <c r="C12" s="174" t="s">
        <v>5</v>
      </c>
      <c r="D12" s="261">
        <v>1722218.72</v>
      </c>
      <c r="E12" s="337">
        <v>1162478.51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1722218.72</v>
      </c>
      <c r="E21" s="149">
        <f>E11</f>
        <v>1162478.51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2770597.41</v>
      </c>
      <c r="E26" s="232">
        <f>D21</f>
        <v>1722218.72</v>
      </c>
    </row>
    <row r="27" spans="2:6">
      <c r="B27" s="9" t="s">
        <v>17</v>
      </c>
      <c r="C27" s="10" t="s">
        <v>187</v>
      </c>
      <c r="D27" s="201">
        <v>-1358895.66</v>
      </c>
      <c r="E27" s="225">
        <f>E28-E32</f>
        <v>-559546.29</v>
      </c>
      <c r="F27" s="72"/>
    </row>
    <row r="28" spans="2:6">
      <c r="B28" s="9" t="s">
        <v>18</v>
      </c>
      <c r="C28" s="10" t="s">
        <v>19</v>
      </c>
      <c r="D28" s="201">
        <v>498583.74000000005</v>
      </c>
      <c r="E28" s="226">
        <f>E29+E30+E31</f>
        <v>105864.73</v>
      </c>
      <c r="F28" s="72"/>
    </row>
    <row r="29" spans="2:6">
      <c r="B29" s="181" t="s">
        <v>4</v>
      </c>
      <c r="C29" s="174" t="s">
        <v>20</v>
      </c>
      <c r="D29" s="202">
        <v>3300.03</v>
      </c>
      <c r="E29" s="227">
        <v>449.98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495283.71</v>
      </c>
      <c r="E31" s="227">
        <v>105414.75</v>
      </c>
      <c r="F31" s="72"/>
    </row>
    <row r="32" spans="2:6">
      <c r="B32" s="93" t="s">
        <v>23</v>
      </c>
      <c r="C32" s="11" t="s">
        <v>24</v>
      </c>
      <c r="D32" s="201">
        <v>1857479.4</v>
      </c>
      <c r="E32" s="226">
        <f>E33+E35+E37+E39</f>
        <v>665411.02</v>
      </c>
      <c r="F32" s="72"/>
    </row>
    <row r="33" spans="2:6">
      <c r="B33" s="181" t="s">
        <v>4</v>
      </c>
      <c r="C33" s="174" t="s">
        <v>25</v>
      </c>
      <c r="D33" s="202">
        <v>846624.3</v>
      </c>
      <c r="E33" s="227">
        <v>600249.91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1082.78</v>
      </c>
      <c r="E35" s="227">
        <v>1022.83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32659.33</v>
      </c>
      <c r="E37" s="227">
        <v>29078.29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977112.99</v>
      </c>
      <c r="E39" s="228">
        <v>35059.99</v>
      </c>
      <c r="F39" s="72"/>
    </row>
    <row r="40" spans="2:6" ht="13.5" thickBot="1">
      <c r="B40" s="98" t="s">
        <v>35</v>
      </c>
      <c r="C40" s="99" t="s">
        <v>36</v>
      </c>
      <c r="D40" s="204">
        <v>310516.96999999997</v>
      </c>
      <c r="E40" s="233">
        <v>-193.92</v>
      </c>
    </row>
    <row r="41" spans="2:6" ht="13.5" thickBot="1">
      <c r="B41" s="100" t="s">
        <v>37</v>
      </c>
      <c r="C41" s="101" t="s">
        <v>38</v>
      </c>
      <c r="D41" s="205">
        <v>1722218.7200000002</v>
      </c>
      <c r="E41" s="149">
        <f>E26+E27+E40</f>
        <v>1162478.51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5771.2362999999996</v>
      </c>
      <c r="E47" s="150">
        <v>3028.3431</v>
      </c>
    </row>
    <row r="48" spans="2:6">
      <c r="B48" s="186" t="s">
        <v>6</v>
      </c>
      <c r="C48" s="187" t="s">
        <v>41</v>
      </c>
      <c r="D48" s="207">
        <v>3028.3431</v>
      </c>
      <c r="E48" s="336">
        <v>2091.1648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480.07</v>
      </c>
      <c r="E50" s="236">
        <v>568.70000000000005</v>
      </c>
    </row>
    <row r="51" spans="2:5">
      <c r="B51" s="184" t="s">
        <v>6</v>
      </c>
      <c r="C51" s="185" t="s">
        <v>190</v>
      </c>
      <c r="D51" s="209">
        <v>480.07</v>
      </c>
      <c r="E51" s="236">
        <v>545.37</v>
      </c>
    </row>
    <row r="52" spans="2:5">
      <c r="B52" s="184" t="s">
        <v>8</v>
      </c>
      <c r="C52" s="185" t="s">
        <v>191</v>
      </c>
      <c r="D52" s="209">
        <v>573.57000000000005</v>
      </c>
      <c r="E52" s="300">
        <v>658.48</v>
      </c>
    </row>
    <row r="53" spans="2:5" ht="13.5" customHeight="1" thickBot="1">
      <c r="B53" s="188" t="s">
        <v>9</v>
      </c>
      <c r="C53" s="189" t="s">
        <v>41</v>
      </c>
      <c r="D53" s="210">
        <v>568.70000000000005</v>
      </c>
      <c r="E53" s="343">
        <v>555.9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1162478.51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1162478.51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1162478.51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1162478.51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119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67733.87</v>
      </c>
      <c r="E11" s="258">
        <f>E12</f>
        <v>34332.910000000003</v>
      </c>
    </row>
    <row r="12" spans="2:5">
      <c r="B12" s="173" t="s">
        <v>4</v>
      </c>
      <c r="C12" s="174" t="s">
        <v>5</v>
      </c>
      <c r="D12" s="261">
        <v>67733.87</v>
      </c>
      <c r="E12" s="337">
        <f>38455.19-4122.28</f>
        <v>34332.910000000003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67733.87</v>
      </c>
      <c r="E21" s="149">
        <f>E11</f>
        <v>34332.910000000003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103421.04</v>
      </c>
      <c r="E26" s="232">
        <f>D21</f>
        <v>67733.87</v>
      </c>
    </row>
    <row r="27" spans="2:6">
      <c r="B27" s="9" t="s">
        <v>17</v>
      </c>
      <c r="C27" s="10" t="s">
        <v>187</v>
      </c>
      <c r="D27" s="201">
        <v>-41029.58</v>
      </c>
      <c r="E27" s="225">
        <f>E28-E32</f>
        <v>-31921.949999999997</v>
      </c>
      <c r="F27" s="72"/>
    </row>
    <row r="28" spans="2:6">
      <c r="B28" s="9" t="s">
        <v>18</v>
      </c>
      <c r="C28" s="10" t="s">
        <v>19</v>
      </c>
      <c r="D28" s="201">
        <v>21074.34</v>
      </c>
      <c r="E28" s="226">
        <f>E29+E30+E31</f>
        <v>12372</v>
      </c>
      <c r="F28" s="72"/>
    </row>
    <row r="29" spans="2:6">
      <c r="B29" s="181" t="s">
        <v>4</v>
      </c>
      <c r="C29" s="174" t="s">
        <v>20</v>
      </c>
      <c r="D29" s="202">
        <v>8996.51</v>
      </c>
      <c r="E29" s="227">
        <v>1843.95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12077.83</v>
      </c>
      <c r="E31" s="227">
        <v>10528.05</v>
      </c>
      <c r="F31" s="72"/>
    </row>
    <row r="32" spans="2:6">
      <c r="B32" s="93" t="s">
        <v>23</v>
      </c>
      <c r="C32" s="11" t="s">
        <v>24</v>
      </c>
      <c r="D32" s="201">
        <v>62103.920000000006</v>
      </c>
      <c r="E32" s="226">
        <f>E33+E35+E37+E39</f>
        <v>44293.95</v>
      </c>
      <c r="F32" s="72"/>
    </row>
    <row r="33" spans="2:6">
      <c r="B33" s="181" t="s">
        <v>4</v>
      </c>
      <c r="C33" s="174" t="s">
        <v>25</v>
      </c>
      <c r="D33" s="202">
        <v>409.64</v>
      </c>
      <c r="E33" s="227">
        <f>2152.54+4122.28</f>
        <v>6274.82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415.49</v>
      </c>
      <c r="E35" s="227">
        <v>297.42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811.85</v>
      </c>
      <c r="E37" s="227">
        <v>477.9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60466.94</v>
      </c>
      <c r="E39" s="228">
        <v>37243.81</v>
      </c>
      <c r="F39" s="72"/>
    </row>
    <row r="40" spans="2:6" ht="13.5" thickBot="1">
      <c r="B40" s="98" t="s">
        <v>35</v>
      </c>
      <c r="C40" s="99" t="s">
        <v>36</v>
      </c>
      <c r="D40" s="204">
        <v>5342.41</v>
      </c>
      <c r="E40" s="233">
        <v>-1479.01</v>
      </c>
    </row>
    <row r="41" spans="2:6" ht="13.5" thickBot="1">
      <c r="B41" s="100" t="s">
        <v>37</v>
      </c>
      <c r="C41" s="101" t="s">
        <v>38</v>
      </c>
      <c r="D41" s="205">
        <v>67733.87</v>
      </c>
      <c r="E41" s="149">
        <f>E26+E27+E40</f>
        <v>34332.909999999996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684.3184</v>
      </c>
      <c r="E47" s="150">
        <v>420.18529999999998</v>
      </c>
    </row>
    <row r="48" spans="2:6">
      <c r="B48" s="186" t="s">
        <v>6</v>
      </c>
      <c r="C48" s="187" t="s">
        <v>41</v>
      </c>
      <c r="D48" s="207">
        <v>420.18529999999998</v>
      </c>
      <c r="E48" s="336">
        <v>212.95688999999999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151.13</v>
      </c>
      <c r="E50" s="236">
        <v>161.19999999999999</v>
      </c>
    </row>
    <row r="51" spans="2:5">
      <c r="B51" s="184" t="s">
        <v>6</v>
      </c>
      <c r="C51" s="185" t="s">
        <v>190</v>
      </c>
      <c r="D51" s="209">
        <v>140.19999999999999</v>
      </c>
      <c r="E51" s="237">
        <v>133.29</v>
      </c>
    </row>
    <row r="52" spans="2:5">
      <c r="B52" s="184" t="s">
        <v>8</v>
      </c>
      <c r="C52" s="185" t="s">
        <v>191</v>
      </c>
      <c r="D52" s="209">
        <v>176</v>
      </c>
      <c r="E52" s="237">
        <v>168.31</v>
      </c>
    </row>
    <row r="53" spans="2:5" ht="14.25" customHeight="1" thickBot="1">
      <c r="B53" s="188" t="s">
        <v>9</v>
      </c>
      <c r="C53" s="189" t="s">
        <v>41</v>
      </c>
      <c r="D53" s="210">
        <v>161.19999999999999</v>
      </c>
      <c r="E53" s="343">
        <v>161.22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34332.910000000003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34332.910000000003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34332.910000000003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34332.910000000003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120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75110.64</v>
      </c>
      <c r="E11" s="258">
        <f>E12</f>
        <v>50394.42</v>
      </c>
    </row>
    <row r="12" spans="2:5">
      <c r="B12" s="173" t="s">
        <v>4</v>
      </c>
      <c r="C12" s="174" t="s">
        <v>5</v>
      </c>
      <c r="D12" s="261">
        <v>75110.64</v>
      </c>
      <c r="E12" s="337">
        <f>50407.54-13.12</f>
        <v>50394.42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75110.64</v>
      </c>
      <c r="E21" s="149">
        <f>E11</f>
        <v>50394.42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85717.95</v>
      </c>
      <c r="E26" s="232">
        <f>D21</f>
        <v>75110.64</v>
      </c>
    </row>
    <row r="27" spans="2:6">
      <c r="B27" s="9" t="s">
        <v>17</v>
      </c>
      <c r="C27" s="10" t="s">
        <v>187</v>
      </c>
      <c r="D27" s="201">
        <v>-21436.25</v>
      </c>
      <c r="E27" s="225">
        <f>E28-E32</f>
        <v>-19868.099999999999</v>
      </c>
      <c r="F27" s="72"/>
    </row>
    <row r="28" spans="2:6">
      <c r="B28" s="9" t="s">
        <v>18</v>
      </c>
      <c r="C28" s="10" t="s">
        <v>19</v>
      </c>
      <c r="D28" s="201">
        <v>9802.89</v>
      </c>
      <c r="E28" s="226">
        <f>E29+E30+E31</f>
        <v>8229.5400000000009</v>
      </c>
      <c r="F28" s="72"/>
    </row>
    <row r="29" spans="2:6">
      <c r="B29" s="181" t="s">
        <v>4</v>
      </c>
      <c r="C29" s="174" t="s">
        <v>20</v>
      </c>
      <c r="D29" s="202">
        <v>4765.1899999999996</v>
      </c>
      <c r="E29" s="227">
        <v>4586.59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5037.7</v>
      </c>
      <c r="E31" s="227">
        <v>3642.95</v>
      </c>
      <c r="F31" s="72"/>
    </row>
    <row r="32" spans="2:6">
      <c r="B32" s="93" t="s">
        <v>23</v>
      </c>
      <c r="C32" s="11" t="s">
        <v>24</v>
      </c>
      <c r="D32" s="201">
        <v>31239.14</v>
      </c>
      <c r="E32" s="226">
        <f>E33+E35+E37+E39</f>
        <v>28097.64</v>
      </c>
      <c r="F32" s="72"/>
    </row>
    <row r="33" spans="2:6">
      <c r="B33" s="181" t="s">
        <v>4</v>
      </c>
      <c r="C33" s="174" t="s">
        <v>25</v>
      </c>
      <c r="D33" s="202">
        <v>13727.16</v>
      </c>
      <c r="E33" s="227">
        <f>8810.26-1.11</f>
        <v>8809.15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522.45000000000005</v>
      </c>
      <c r="E35" s="227">
        <v>522.46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795.72</v>
      </c>
      <c r="E37" s="227">
        <v>576.63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16193.81</v>
      </c>
      <c r="E39" s="228">
        <v>18189.400000000001</v>
      </c>
      <c r="F39" s="72"/>
    </row>
    <row r="40" spans="2:6" ht="13.5" thickBot="1">
      <c r="B40" s="98" t="s">
        <v>35</v>
      </c>
      <c r="C40" s="99" t="s">
        <v>36</v>
      </c>
      <c r="D40" s="204">
        <v>10828.94</v>
      </c>
      <c r="E40" s="233">
        <v>-4848.12</v>
      </c>
    </row>
    <row r="41" spans="2:6" ht="13.5" thickBot="1">
      <c r="B41" s="100" t="s">
        <v>37</v>
      </c>
      <c r="C41" s="101" t="s">
        <v>38</v>
      </c>
      <c r="D41" s="205">
        <v>75110.64</v>
      </c>
      <c r="E41" s="149">
        <f>E26+E27+E40</f>
        <v>50394.42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90">
        <v>1203.0589</v>
      </c>
      <c r="E47" s="150">
        <v>905.60209999999995</v>
      </c>
    </row>
    <row r="48" spans="2:6">
      <c r="B48" s="186" t="s">
        <v>6</v>
      </c>
      <c r="C48" s="187" t="s">
        <v>41</v>
      </c>
      <c r="D48" s="290">
        <v>905.60209999999995</v>
      </c>
      <c r="E48" s="344">
        <v>659.18140000000005</v>
      </c>
    </row>
    <row r="49" spans="2:5">
      <c r="B49" s="121" t="s">
        <v>23</v>
      </c>
      <c r="C49" s="125" t="s">
        <v>189</v>
      </c>
      <c r="D49" s="290"/>
      <c r="E49" s="253"/>
    </row>
    <row r="50" spans="2:5">
      <c r="B50" s="184" t="s">
        <v>4</v>
      </c>
      <c r="C50" s="185" t="s">
        <v>40</v>
      </c>
      <c r="D50" s="290">
        <v>71.25</v>
      </c>
      <c r="E50" s="253">
        <v>82.94</v>
      </c>
    </row>
    <row r="51" spans="2:5">
      <c r="B51" s="184" t="s">
        <v>6</v>
      </c>
      <c r="C51" s="185" t="s">
        <v>190</v>
      </c>
      <c r="D51" s="323">
        <v>70.84</v>
      </c>
      <c r="E51" s="295">
        <v>75.31</v>
      </c>
    </row>
    <row r="52" spans="2:5">
      <c r="B52" s="184" t="s">
        <v>8</v>
      </c>
      <c r="C52" s="185" t="s">
        <v>191</v>
      </c>
      <c r="D52" s="323">
        <v>84.38</v>
      </c>
      <c r="E52" s="295">
        <v>88.68</v>
      </c>
    </row>
    <row r="53" spans="2:5" ht="13.5" customHeight="1" thickBot="1">
      <c r="B53" s="188" t="s">
        <v>9</v>
      </c>
      <c r="C53" s="189" t="s">
        <v>41</v>
      </c>
      <c r="D53" s="210">
        <v>82.94</v>
      </c>
      <c r="E53" s="345">
        <v>76.45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50394.42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50394.42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50394.42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50394.42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117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180195.43000000002</v>
      </c>
      <c r="E11" s="258">
        <f>E12</f>
        <v>125358.98</v>
      </c>
    </row>
    <row r="12" spans="2:5">
      <c r="B12" s="107" t="s">
        <v>4</v>
      </c>
      <c r="C12" s="6" t="s">
        <v>5</v>
      </c>
      <c r="D12" s="261">
        <v>180195.43000000002</v>
      </c>
      <c r="E12" s="337">
        <f>125834.04-475.06</f>
        <v>125358.98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180195.43000000002</v>
      </c>
      <c r="E21" s="149">
        <f>E11-E17</f>
        <v>125358.98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36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309732.07</v>
      </c>
      <c r="E26" s="232">
        <f>D21</f>
        <v>180195.43000000002</v>
      </c>
    </row>
    <row r="27" spans="2:6">
      <c r="B27" s="9" t="s">
        <v>17</v>
      </c>
      <c r="C27" s="10" t="s">
        <v>187</v>
      </c>
      <c r="D27" s="201">
        <v>-132624.29999999999</v>
      </c>
      <c r="E27" s="225">
        <f>E28-E32</f>
        <v>-43346.729999999996</v>
      </c>
      <c r="F27" s="72"/>
    </row>
    <row r="28" spans="2:6">
      <c r="B28" s="9" t="s">
        <v>18</v>
      </c>
      <c r="C28" s="10" t="s">
        <v>19</v>
      </c>
      <c r="D28" s="201">
        <v>85698.72</v>
      </c>
      <c r="E28" s="226">
        <f>E29+E30+E31</f>
        <v>26337.270000000004</v>
      </c>
      <c r="F28" s="72"/>
    </row>
    <row r="29" spans="2:6">
      <c r="B29" s="105" t="s">
        <v>4</v>
      </c>
      <c r="C29" s="6" t="s">
        <v>20</v>
      </c>
      <c r="D29" s="202">
        <v>14469.72</v>
      </c>
      <c r="E29" s="227">
        <v>9464.0300000000007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71229</v>
      </c>
      <c r="E31" s="227">
        <v>16873.240000000002</v>
      </c>
      <c r="F31" s="72"/>
    </row>
    <row r="32" spans="2:6">
      <c r="B32" s="93" t="s">
        <v>23</v>
      </c>
      <c r="C32" s="11" t="s">
        <v>24</v>
      </c>
      <c r="D32" s="201">
        <v>218323.02</v>
      </c>
      <c r="E32" s="226">
        <f>E33+E35+E37+E39</f>
        <v>69684</v>
      </c>
      <c r="F32" s="72"/>
    </row>
    <row r="33" spans="2:6">
      <c r="B33" s="105" t="s">
        <v>4</v>
      </c>
      <c r="C33" s="6" t="s">
        <v>25</v>
      </c>
      <c r="D33" s="202">
        <v>43439.609999999993</v>
      </c>
      <c r="E33" s="227">
        <f>45170.74+239.6</f>
        <v>45410.34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1903.64</v>
      </c>
      <c r="E35" s="227">
        <v>1339.08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3233.78</v>
      </c>
      <c r="E37" s="227">
        <v>1719.48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169745.99</v>
      </c>
      <c r="E39" s="228">
        <v>21215.1</v>
      </c>
      <c r="F39" s="72"/>
    </row>
    <row r="40" spans="2:6" ht="13.5" thickBot="1">
      <c r="B40" s="98" t="s">
        <v>35</v>
      </c>
      <c r="C40" s="99" t="s">
        <v>36</v>
      </c>
      <c r="D40" s="204">
        <v>3087.66</v>
      </c>
      <c r="E40" s="233">
        <v>-11489.72</v>
      </c>
    </row>
    <row r="41" spans="2:6" ht="13.5" thickBot="1">
      <c r="B41" s="100" t="s">
        <v>37</v>
      </c>
      <c r="C41" s="101" t="s">
        <v>38</v>
      </c>
      <c r="D41" s="205">
        <v>180195.43000000002</v>
      </c>
      <c r="E41" s="149">
        <f>E26+E27+E40</f>
        <v>125358.98000000001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2154.9576999999999</v>
      </c>
      <c r="E47" s="150">
        <v>1243.92814</v>
      </c>
    </row>
    <row r="48" spans="2:6">
      <c r="B48" s="124" t="s">
        <v>6</v>
      </c>
      <c r="C48" s="22" t="s">
        <v>41</v>
      </c>
      <c r="D48" s="207">
        <v>1243.92814</v>
      </c>
      <c r="E48" s="336">
        <v>925.09024999999997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03" t="s">
        <v>4</v>
      </c>
      <c r="C50" s="15" t="s">
        <v>40</v>
      </c>
      <c r="D50" s="206">
        <v>143.72999999999999</v>
      </c>
      <c r="E50" s="236">
        <v>144.86000000000001</v>
      </c>
    </row>
    <row r="51" spans="2:5">
      <c r="B51" s="103" t="s">
        <v>6</v>
      </c>
      <c r="C51" s="15" t="s">
        <v>190</v>
      </c>
      <c r="D51" s="209">
        <v>138.83000000000001</v>
      </c>
      <c r="E51" s="236">
        <v>126.84</v>
      </c>
    </row>
    <row r="52" spans="2:5">
      <c r="B52" s="103" t="s">
        <v>8</v>
      </c>
      <c r="C52" s="15" t="s">
        <v>191</v>
      </c>
      <c r="D52" s="209">
        <v>155.35</v>
      </c>
      <c r="E52" s="237">
        <v>150.49</v>
      </c>
    </row>
    <row r="53" spans="2:5" ht="12.75" customHeight="1" thickBot="1">
      <c r="B53" s="104" t="s">
        <v>9</v>
      </c>
      <c r="C53" s="17" t="s">
        <v>41</v>
      </c>
      <c r="D53" s="210">
        <v>144.86000000000001</v>
      </c>
      <c r="E53" s="343">
        <v>135.51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125358.98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125358.98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125358.98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125358.98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178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261740.12</v>
      </c>
      <c r="E11" s="258">
        <f>E12</f>
        <v>86926.41</v>
      </c>
    </row>
    <row r="12" spans="2:5">
      <c r="B12" s="107" t="s">
        <v>4</v>
      </c>
      <c r="C12" s="6" t="s">
        <v>5</v>
      </c>
      <c r="D12" s="261">
        <v>261740.12</v>
      </c>
      <c r="E12" s="337">
        <v>86926.41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261740.12</v>
      </c>
      <c r="E21" s="149">
        <f>E11</f>
        <v>86926.41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36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260732.79999999999</v>
      </c>
      <c r="E26" s="232">
        <f>D21</f>
        <v>261740.12</v>
      </c>
    </row>
    <row r="27" spans="2:6">
      <c r="B27" s="9" t="s">
        <v>17</v>
      </c>
      <c r="C27" s="10" t="s">
        <v>187</v>
      </c>
      <c r="D27" s="201">
        <v>-6568.6999999999971</v>
      </c>
      <c r="E27" s="225">
        <f>E28-E32</f>
        <v>-178099.02999999997</v>
      </c>
      <c r="F27" s="72"/>
    </row>
    <row r="28" spans="2:6">
      <c r="B28" s="9" t="s">
        <v>18</v>
      </c>
      <c r="C28" s="10" t="s">
        <v>19</v>
      </c>
      <c r="D28" s="201">
        <v>62016.520000000004</v>
      </c>
      <c r="E28" s="226">
        <f>E29+E30+E31</f>
        <v>7547.17</v>
      </c>
      <c r="F28" s="72"/>
    </row>
    <row r="29" spans="2:6">
      <c r="B29" s="105" t="s">
        <v>4</v>
      </c>
      <c r="C29" s="6" t="s">
        <v>20</v>
      </c>
      <c r="D29" s="202">
        <v>5178.22</v>
      </c>
      <c r="E29" s="227">
        <v>5830.33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56838.3</v>
      </c>
      <c r="E31" s="227">
        <v>1716.84</v>
      </c>
      <c r="F31" s="72"/>
    </row>
    <row r="32" spans="2:6">
      <c r="B32" s="93" t="s">
        <v>23</v>
      </c>
      <c r="C32" s="11" t="s">
        <v>24</v>
      </c>
      <c r="D32" s="201">
        <v>68585.22</v>
      </c>
      <c r="E32" s="226">
        <f>E33+E35+E37+E39</f>
        <v>185646.19999999998</v>
      </c>
      <c r="F32" s="72"/>
    </row>
    <row r="33" spans="2:6">
      <c r="B33" s="105" t="s">
        <v>4</v>
      </c>
      <c r="C33" s="6" t="s">
        <v>25</v>
      </c>
      <c r="D33" s="202">
        <v>56281.64</v>
      </c>
      <c r="E33" s="227">
        <v>180907.96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560.39</v>
      </c>
      <c r="E35" s="227">
        <v>511.04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4567.88</v>
      </c>
      <c r="E37" s="227">
        <v>1660.96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7175.31</v>
      </c>
      <c r="E39" s="228">
        <v>2566.2399999999998</v>
      </c>
      <c r="F39" s="72"/>
    </row>
    <row r="40" spans="2:6" ht="13.5" thickBot="1">
      <c r="B40" s="98" t="s">
        <v>35</v>
      </c>
      <c r="C40" s="99" t="s">
        <v>36</v>
      </c>
      <c r="D40" s="204">
        <v>7576.02</v>
      </c>
      <c r="E40" s="233">
        <v>3285.32</v>
      </c>
    </row>
    <row r="41" spans="2:6" ht="13.5" thickBot="1">
      <c r="B41" s="100" t="s">
        <v>37</v>
      </c>
      <c r="C41" s="101" t="s">
        <v>38</v>
      </c>
      <c r="D41" s="205">
        <v>261740.11999999997</v>
      </c>
      <c r="E41" s="149">
        <f>E26+E27+E40</f>
        <v>86926.410000000033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2003.0175999999999</v>
      </c>
      <c r="E47" s="150">
        <v>1957.3744999999999</v>
      </c>
    </row>
    <row r="48" spans="2:6">
      <c r="B48" s="124" t="s">
        <v>6</v>
      </c>
      <c r="C48" s="22" t="s">
        <v>41</v>
      </c>
      <c r="D48" s="207">
        <v>1957.3744999999999</v>
      </c>
      <c r="E48" s="336">
        <v>639.68219999999997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03" t="s">
        <v>4</v>
      </c>
      <c r="C50" s="15" t="s">
        <v>40</v>
      </c>
      <c r="D50" s="206">
        <v>130.16999999999999</v>
      </c>
      <c r="E50" s="236">
        <v>133.72</v>
      </c>
    </row>
    <row r="51" spans="2:5">
      <c r="B51" s="103" t="s">
        <v>6</v>
      </c>
      <c r="C51" s="15" t="s">
        <v>190</v>
      </c>
      <c r="D51" s="209">
        <v>130.07</v>
      </c>
      <c r="E51" s="237">
        <v>133.71</v>
      </c>
    </row>
    <row r="52" spans="2:5">
      <c r="B52" s="103" t="s">
        <v>8</v>
      </c>
      <c r="C52" s="15" t="s">
        <v>191</v>
      </c>
      <c r="D52" s="209">
        <v>133.75</v>
      </c>
      <c r="E52" s="237">
        <v>135.88999999999999</v>
      </c>
    </row>
    <row r="53" spans="2:5" ht="13.5" customHeight="1" thickBot="1">
      <c r="B53" s="104" t="s">
        <v>9</v>
      </c>
      <c r="C53" s="17" t="s">
        <v>41</v>
      </c>
      <c r="D53" s="210">
        <v>133.72</v>
      </c>
      <c r="E53" s="343">
        <v>135.88999999999999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86926.41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86926.41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86926.41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86926.41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121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284556.46999999997</v>
      </c>
      <c r="E11" s="258">
        <f>E12</f>
        <v>153386.26999999999</v>
      </c>
    </row>
    <row r="12" spans="2:5">
      <c r="B12" s="107" t="s">
        <v>4</v>
      </c>
      <c r="C12" s="6" t="s">
        <v>5</v>
      </c>
      <c r="D12" s="261">
        <v>284556.46999999997</v>
      </c>
      <c r="E12" s="337">
        <f>153501.21-114.94</f>
        <v>153386.26999999999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284556.46999999997</v>
      </c>
      <c r="E21" s="149">
        <f>E11</f>
        <v>153386.26999999999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36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259327.86</v>
      </c>
      <c r="E26" s="232">
        <f>D21</f>
        <v>284556.46999999997</v>
      </c>
    </row>
    <row r="27" spans="2:6">
      <c r="B27" s="9" t="s">
        <v>17</v>
      </c>
      <c r="C27" s="10" t="s">
        <v>187</v>
      </c>
      <c r="D27" s="201">
        <v>35.510000000009313</v>
      </c>
      <c r="E27" s="225">
        <f>E28-E32</f>
        <v>-120714.26999999999</v>
      </c>
      <c r="F27" s="72"/>
    </row>
    <row r="28" spans="2:6">
      <c r="B28" s="9" t="s">
        <v>18</v>
      </c>
      <c r="C28" s="10" t="s">
        <v>19</v>
      </c>
      <c r="D28" s="201">
        <v>137235.14000000001</v>
      </c>
      <c r="E28" s="226">
        <f>E29+E30+E31</f>
        <v>46203.51</v>
      </c>
      <c r="F28" s="72"/>
    </row>
    <row r="29" spans="2:6">
      <c r="B29" s="105" t="s">
        <v>4</v>
      </c>
      <c r="C29" s="6" t="s">
        <v>20</v>
      </c>
      <c r="D29" s="202">
        <v>20403.87</v>
      </c>
      <c r="E29" s="227">
        <v>19544.27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116831.27</v>
      </c>
      <c r="E31" s="227">
        <v>26659.24</v>
      </c>
      <c r="F31" s="72"/>
    </row>
    <row r="32" spans="2:6">
      <c r="B32" s="93" t="s">
        <v>23</v>
      </c>
      <c r="C32" s="11" t="s">
        <v>24</v>
      </c>
      <c r="D32" s="201">
        <v>137199.63</v>
      </c>
      <c r="E32" s="226">
        <f>E33+E35+E37+E39</f>
        <v>166917.78</v>
      </c>
      <c r="F32" s="72"/>
    </row>
    <row r="33" spans="2:6">
      <c r="B33" s="105" t="s">
        <v>4</v>
      </c>
      <c r="C33" s="6" t="s">
        <v>25</v>
      </c>
      <c r="D33" s="202">
        <v>31828.67</v>
      </c>
      <c r="E33" s="227">
        <f>19516.82+114.94</f>
        <v>19631.759999999998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2470.46</v>
      </c>
      <c r="E35" s="227">
        <v>2130.69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2168.8200000000002</v>
      </c>
      <c r="E37" s="227">
        <v>2003.96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100731.68</v>
      </c>
      <c r="E39" s="228">
        <v>143151.37</v>
      </c>
      <c r="F39" s="72"/>
    </row>
    <row r="40" spans="2:6" ht="13.5" thickBot="1">
      <c r="B40" s="98" t="s">
        <v>35</v>
      </c>
      <c r="C40" s="99" t="s">
        <v>36</v>
      </c>
      <c r="D40" s="204">
        <v>25193.1</v>
      </c>
      <c r="E40" s="233">
        <v>-10455.93</v>
      </c>
    </row>
    <row r="41" spans="2:6" ht="13.5" thickBot="1">
      <c r="B41" s="100" t="s">
        <v>37</v>
      </c>
      <c r="C41" s="101" t="s">
        <v>38</v>
      </c>
      <c r="D41" s="205">
        <v>284556.46999999997</v>
      </c>
      <c r="E41" s="149">
        <f>E26+E27+E40</f>
        <v>153386.26999999999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1245.5708999999999</v>
      </c>
      <c r="E47" s="150">
        <v>1207.0264</v>
      </c>
    </row>
    <row r="48" spans="2:6">
      <c r="B48" s="124" t="s">
        <v>6</v>
      </c>
      <c r="C48" s="22" t="s">
        <v>41</v>
      </c>
      <c r="D48" s="207">
        <v>1207.0264</v>
      </c>
      <c r="E48" s="336">
        <v>698.76666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03" t="s">
        <v>4</v>
      </c>
      <c r="C50" s="15" t="s">
        <v>40</v>
      </c>
      <c r="D50" s="206">
        <v>208.2</v>
      </c>
      <c r="E50" s="236">
        <v>235.75</v>
      </c>
    </row>
    <row r="51" spans="2:5">
      <c r="B51" s="103" t="s">
        <v>6</v>
      </c>
      <c r="C51" s="15" t="s">
        <v>190</v>
      </c>
      <c r="D51" s="209">
        <v>208.2</v>
      </c>
      <c r="E51" s="237">
        <v>209.18</v>
      </c>
    </row>
    <row r="52" spans="2:5">
      <c r="B52" s="103" t="s">
        <v>8</v>
      </c>
      <c r="C52" s="15" t="s">
        <v>191</v>
      </c>
      <c r="D52" s="209">
        <v>243.85</v>
      </c>
      <c r="E52" s="237">
        <v>252.01</v>
      </c>
    </row>
    <row r="53" spans="2:5" ht="12.75" customHeight="1" thickBot="1">
      <c r="B53" s="104" t="s">
        <v>9</v>
      </c>
      <c r="C53" s="17" t="s">
        <v>41</v>
      </c>
      <c r="D53" s="210">
        <v>235.75</v>
      </c>
      <c r="E53" s="343">
        <v>219.51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153386.26999999999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153386.26999999999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153386.26999999999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153386.26999999999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122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150953.80000000002</v>
      </c>
      <c r="E11" s="258">
        <f>E12</f>
        <v>0</v>
      </c>
    </row>
    <row r="12" spans="2:5">
      <c r="B12" s="107" t="s">
        <v>4</v>
      </c>
      <c r="C12" s="6" t="s">
        <v>5</v>
      </c>
      <c r="D12" s="261">
        <v>150953.80000000002</v>
      </c>
      <c r="E12" s="262">
        <v>0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150953.80000000002</v>
      </c>
      <c r="E21" s="149">
        <f>E11</f>
        <v>0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36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94240.53</v>
      </c>
      <c r="E26" s="232">
        <f>D21</f>
        <v>150953.80000000002</v>
      </c>
    </row>
    <row r="27" spans="2:6">
      <c r="B27" s="9" t="s">
        <v>17</v>
      </c>
      <c r="C27" s="10" t="s">
        <v>187</v>
      </c>
      <c r="D27" s="201">
        <v>17766.74000000002</v>
      </c>
      <c r="E27" s="225">
        <f>E28-E32</f>
        <v>-115898.7</v>
      </c>
      <c r="F27" s="72"/>
    </row>
    <row r="28" spans="2:6">
      <c r="B28" s="9" t="s">
        <v>18</v>
      </c>
      <c r="C28" s="10" t="s">
        <v>19</v>
      </c>
      <c r="D28" s="201">
        <v>195311.15</v>
      </c>
      <c r="E28" s="226">
        <f>E29+E30+E31</f>
        <v>9990.09</v>
      </c>
      <c r="F28" s="72"/>
    </row>
    <row r="29" spans="2:6">
      <c r="B29" s="105" t="s">
        <v>4</v>
      </c>
      <c r="C29" s="6" t="s">
        <v>20</v>
      </c>
      <c r="D29" s="202"/>
      <c r="E29" s="227">
        <v>0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195311.15</v>
      </c>
      <c r="E31" s="227">
        <v>9990.09</v>
      </c>
      <c r="F31" s="72"/>
    </row>
    <row r="32" spans="2:6">
      <c r="B32" s="93" t="s">
        <v>23</v>
      </c>
      <c r="C32" s="11" t="s">
        <v>24</v>
      </c>
      <c r="D32" s="201">
        <v>177544.40999999997</v>
      </c>
      <c r="E32" s="226">
        <f>E33+E35+E37+E39</f>
        <v>125888.79</v>
      </c>
      <c r="F32" s="72"/>
    </row>
    <row r="33" spans="2:6">
      <c r="B33" s="105" t="s">
        <v>4</v>
      </c>
      <c r="C33" s="6" t="s">
        <v>25</v>
      </c>
      <c r="D33" s="202">
        <v>141926.32999999999</v>
      </c>
      <c r="E33" s="227">
        <f>39811.62-13559.83</f>
        <v>26251.79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173.8</v>
      </c>
      <c r="E35" s="227">
        <v>74.39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>
        <v>4005.85</v>
      </c>
      <c r="E37" s="227">
        <v>1372.07</v>
      </c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31438.43</v>
      </c>
      <c r="E39" s="228">
        <v>98190.54</v>
      </c>
      <c r="F39" s="72"/>
    </row>
    <row r="40" spans="2:6" ht="13.5" thickBot="1">
      <c r="B40" s="98" t="s">
        <v>35</v>
      </c>
      <c r="C40" s="99" t="s">
        <v>36</v>
      </c>
      <c r="D40" s="204">
        <v>38946.53</v>
      </c>
      <c r="E40" s="233">
        <v>-35055.1</v>
      </c>
    </row>
    <row r="41" spans="2:6" ht="13.5" thickBot="1">
      <c r="B41" s="100" t="s">
        <v>37</v>
      </c>
      <c r="C41" s="101" t="s">
        <v>38</v>
      </c>
      <c r="D41" s="205">
        <v>150953.80000000002</v>
      </c>
      <c r="E41" s="149">
        <f>E26+E27+E40</f>
        <v>0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620.00350000000003</v>
      </c>
      <c r="E47" s="150">
        <v>885.6712</v>
      </c>
    </row>
    <row r="48" spans="2:6">
      <c r="B48" s="124" t="s">
        <v>6</v>
      </c>
      <c r="C48" s="22" t="s">
        <v>41</v>
      </c>
      <c r="D48" s="207">
        <v>885.6712</v>
      </c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152</v>
      </c>
      <c r="E50" s="150">
        <v>170.44</v>
      </c>
    </row>
    <row r="51" spans="2:5">
      <c r="B51" s="103" t="s">
        <v>6</v>
      </c>
      <c r="C51" s="15" t="s">
        <v>190</v>
      </c>
      <c r="D51" s="209">
        <v>136.65</v>
      </c>
      <c r="E51" s="76">
        <v>85.31</v>
      </c>
    </row>
    <row r="52" spans="2:5">
      <c r="B52" s="103" t="s">
        <v>8</v>
      </c>
      <c r="C52" s="15" t="s">
        <v>191</v>
      </c>
      <c r="D52" s="209">
        <v>186.53</v>
      </c>
      <c r="E52" s="76">
        <v>173.73</v>
      </c>
    </row>
    <row r="53" spans="2:5" ht="13.5" customHeight="1" thickBot="1">
      <c r="B53" s="104" t="s">
        <v>9</v>
      </c>
      <c r="C53" s="17" t="s">
        <v>41</v>
      </c>
      <c r="D53" s="210">
        <v>170.44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1" bottom="0.61" header="0.5" footer="0.5"/>
  <pageSetup paperSize="9" scale="7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209</v>
      </c>
      <c r="C6" s="356"/>
      <c r="D6" s="356"/>
      <c r="E6" s="356"/>
    </row>
    <row r="7" spans="2:5" ht="14.25">
      <c r="B7" s="164"/>
      <c r="C7" s="164"/>
      <c r="D7" s="164"/>
      <c r="E7" s="16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6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24047.09</v>
      </c>
      <c r="E11" s="258">
        <f>E12</f>
        <v>9791.7199999999993</v>
      </c>
    </row>
    <row r="12" spans="2:5">
      <c r="B12" s="173" t="s">
        <v>4</v>
      </c>
      <c r="C12" s="174" t="s">
        <v>5</v>
      </c>
      <c r="D12" s="261">
        <v>24047.09</v>
      </c>
      <c r="E12" s="337">
        <v>9791.7199999999993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24047.09</v>
      </c>
      <c r="E21" s="149">
        <f>E11</f>
        <v>9791.7199999999993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36210.639999999999</v>
      </c>
      <c r="E26" s="232">
        <f>D21</f>
        <v>24047.09</v>
      </c>
    </row>
    <row r="27" spans="2:6">
      <c r="B27" s="9" t="s">
        <v>17</v>
      </c>
      <c r="C27" s="10" t="s">
        <v>187</v>
      </c>
      <c r="D27" s="201">
        <v>-12607.13</v>
      </c>
      <c r="E27" s="225">
        <f>E28-E32</f>
        <v>-14275.06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12607.13</v>
      </c>
      <c r="E32" s="226">
        <f>E33+E35+E37+E39</f>
        <v>14275.06</v>
      </c>
      <c r="F32" s="72"/>
    </row>
    <row r="33" spans="2:6">
      <c r="B33" s="181" t="s">
        <v>4</v>
      </c>
      <c r="C33" s="174" t="s">
        <v>25</v>
      </c>
      <c r="D33" s="202">
        <v>12415.07</v>
      </c>
      <c r="E33" s="227">
        <v>14038.49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192.06</v>
      </c>
      <c r="E35" s="227">
        <v>125.02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>
        <v>111.55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443.58</v>
      </c>
      <c r="E40" s="233">
        <v>19.690000000000001</v>
      </c>
    </row>
    <row r="41" spans="2:6" ht="13.5" thickBot="1">
      <c r="B41" s="100" t="s">
        <v>37</v>
      </c>
      <c r="C41" s="101" t="s">
        <v>38</v>
      </c>
      <c r="D41" s="205">
        <v>24047.090000000004</v>
      </c>
      <c r="E41" s="149">
        <f>E26+E27+E40</f>
        <v>9791.7200000000012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359.23250000000002</v>
      </c>
      <c r="E47" s="150">
        <v>235.5018</v>
      </c>
    </row>
    <row r="48" spans="2:6">
      <c r="B48" s="186" t="s">
        <v>6</v>
      </c>
      <c r="C48" s="187" t="s">
        <v>41</v>
      </c>
      <c r="D48" s="207">
        <v>235.5018</v>
      </c>
      <c r="E48" s="336">
        <v>95.8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100.8</v>
      </c>
      <c r="E50" s="236">
        <v>102.11</v>
      </c>
    </row>
    <row r="51" spans="2:5">
      <c r="B51" s="184" t="s">
        <v>6</v>
      </c>
      <c r="C51" s="185" t="s">
        <v>190</v>
      </c>
      <c r="D51" s="209">
        <v>100.44</v>
      </c>
      <c r="E51" s="237">
        <v>101.96</v>
      </c>
    </row>
    <row r="52" spans="2:5">
      <c r="B52" s="184" t="s">
        <v>8</v>
      </c>
      <c r="C52" s="185" t="s">
        <v>191</v>
      </c>
      <c r="D52" s="209">
        <v>102.16</v>
      </c>
      <c r="E52" s="237">
        <v>102.51</v>
      </c>
    </row>
    <row r="53" spans="2:5" ht="13.5" thickBot="1">
      <c r="B53" s="188" t="s">
        <v>9</v>
      </c>
      <c r="C53" s="189" t="s">
        <v>41</v>
      </c>
      <c r="D53" s="210">
        <v>102.11</v>
      </c>
      <c r="E53" s="343">
        <v>102.21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9791.7199999999993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9791.7199999999993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9791.7199999999993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9791.7199999999993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201</v>
      </c>
      <c r="C6" s="356"/>
      <c r="D6" s="356"/>
      <c r="E6" s="356"/>
    </row>
    <row r="7" spans="2:5" ht="14.25">
      <c r="B7" s="154"/>
      <c r="C7" s="154"/>
      <c r="D7" s="154"/>
      <c r="E7" s="15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5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329200.03999999998</v>
      </c>
      <c r="E11" s="258">
        <f>E12</f>
        <v>203272.61</v>
      </c>
    </row>
    <row r="12" spans="2:5">
      <c r="B12" s="173" t="s">
        <v>4</v>
      </c>
      <c r="C12" s="174" t="s">
        <v>5</v>
      </c>
      <c r="D12" s="261">
        <v>329200.03999999998</v>
      </c>
      <c r="E12" s="337">
        <v>203272.61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329200.03999999998</v>
      </c>
      <c r="E21" s="149">
        <f>E11</f>
        <v>203272.61</v>
      </c>
      <c r="F21" s="78"/>
    </row>
    <row r="22" spans="2:6">
      <c r="B22" s="3"/>
      <c r="C22" s="7"/>
      <c r="D22" s="8"/>
      <c r="E22" s="223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429073.22</v>
      </c>
      <c r="E26" s="232">
        <f>D21</f>
        <v>329200.03999999998</v>
      </c>
    </row>
    <row r="27" spans="2:6">
      <c r="B27" s="9" t="s">
        <v>17</v>
      </c>
      <c r="C27" s="10" t="s">
        <v>187</v>
      </c>
      <c r="D27" s="201">
        <v>-111886.97000000003</v>
      </c>
      <c r="E27" s="225">
        <f>E28-E32</f>
        <v>-131292.84999999998</v>
      </c>
      <c r="F27" s="72"/>
    </row>
    <row r="28" spans="2:6">
      <c r="B28" s="9" t="s">
        <v>18</v>
      </c>
      <c r="C28" s="10" t="s">
        <v>19</v>
      </c>
      <c r="D28" s="201">
        <v>85306.87</v>
      </c>
      <c r="E28" s="226">
        <f>E29+E30+E31</f>
        <v>52315.19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85306.87</v>
      </c>
      <c r="E31" s="227">
        <v>52315.19</v>
      </c>
      <c r="F31" s="72"/>
    </row>
    <row r="32" spans="2:6">
      <c r="B32" s="93" t="s">
        <v>23</v>
      </c>
      <c r="C32" s="11" t="s">
        <v>24</v>
      </c>
      <c r="D32" s="201">
        <v>197193.84000000003</v>
      </c>
      <c r="E32" s="226">
        <f>E33+E35+E37+E39</f>
        <v>183608.03999999998</v>
      </c>
      <c r="F32" s="72"/>
    </row>
    <row r="33" spans="2:6">
      <c r="B33" s="181" t="s">
        <v>4</v>
      </c>
      <c r="C33" s="174" t="s">
        <v>25</v>
      </c>
      <c r="D33" s="202">
        <v>166157</v>
      </c>
      <c r="E33" s="227">
        <v>157597.01999999999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1184.23</v>
      </c>
      <c r="E35" s="227">
        <v>831.75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>
        <v>2594.4899999999998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29852.61</v>
      </c>
      <c r="E39" s="228">
        <v>22584.78</v>
      </c>
      <c r="F39" s="72"/>
    </row>
    <row r="40" spans="2:6" ht="13.5" thickBot="1">
      <c r="B40" s="98" t="s">
        <v>35</v>
      </c>
      <c r="C40" s="99" t="s">
        <v>36</v>
      </c>
      <c r="D40" s="204">
        <v>12013.79</v>
      </c>
      <c r="E40" s="233">
        <v>5365.42</v>
      </c>
    </row>
    <row r="41" spans="2:6" ht="13.5" thickBot="1">
      <c r="B41" s="100" t="s">
        <v>37</v>
      </c>
      <c r="C41" s="101" t="s">
        <v>38</v>
      </c>
      <c r="D41" s="205">
        <v>329200.03999999992</v>
      </c>
      <c r="E41" s="149">
        <f>E26+E27+E40</f>
        <v>203272.61000000002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1781.1998000000001</v>
      </c>
      <c r="E47" s="150">
        <v>1325.4954</v>
      </c>
    </row>
    <row r="48" spans="2:6">
      <c r="B48" s="186" t="s">
        <v>6</v>
      </c>
      <c r="C48" s="187" t="s">
        <v>41</v>
      </c>
      <c r="D48" s="207">
        <v>1325.4954</v>
      </c>
      <c r="E48" s="336">
        <v>800.85339999999997</v>
      </c>
    </row>
    <row r="49" spans="2:5">
      <c r="B49" s="121" t="s">
        <v>23</v>
      </c>
      <c r="C49" s="125" t="s">
        <v>189</v>
      </c>
      <c r="D49" s="208"/>
      <c r="E49" s="236"/>
    </row>
    <row r="50" spans="2:5">
      <c r="B50" s="184" t="s">
        <v>4</v>
      </c>
      <c r="C50" s="185" t="s">
        <v>40</v>
      </c>
      <c r="D50" s="206">
        <v>240.89</v>
      </c>
      <c r="E50" s="236">
        <v>248.36</v>
      </c>
    </row>
    <row r="51" spans="2:5">
      <c r="B51" s="184" t="s">
        <v>6</v>
      </c>
      <c r="C51" s="185" t="s">
        <v>190</v>
      </c>
      <c r="D51" s="209">
        <v>240.67</v>
      </c>
      <c r="E51" s="237">
        <v>248.36</v>
      </c>
    </row>
    <row r="52" spans="2:5">
      <c r="B52" s="184" t="s">
        <v>8</v>
      </c>
      <c r="C52" s="185" t="s">
        <v>191</v>
      </c>
      <c r="D52" s="209">
        <v>248.36</v>
      </c>
      <c r="E52" s="237">
        <v>253.83</v>
      </c>
    </row>
    <row r="53" spans="2:5" ht="13.5" thickBot="1">
      <c r="B53" s="188" t="s">
        <v>9</v>
      </c>
      <c r="C53" s="189" t="s">
        <v>41</v>
      </c>
      <c r="D53" s="210">
        <v>248.36</v>
      </c>
      <c r="E53" s="343">
        <v>253.82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203272.61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203272.61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203272.61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203272.61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81"/>
  <sheetViews>
    <sheetView zoomScale="80" zoomScaleNormal="80" workbookViewId="0">
      <selection activeCell="O29" sqref="O2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5703125" customWidth="1"/>
    <col min="8" max="8" width="13.140625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21" customHeight="1">
      <c r="B5" s="355" t="s">
        <v>1</v>
      </c>
      <c r="C5" s="355"/>
      <c r="D5" s="355"/>
      <c r="E5" s="355"/>
    </row>
    <row r="6" spans="2:8" ht="14.25">
      <c r="B6" s="356" t="s">
        <v>89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29" t="s">
        <v>185</v>
      </c>
      <c r="D11" s="257">
        <v>53357668.25</v>
      </c>
      <c r="E11" s="258">
        <f>E12+E13+E14</f>
        <v>44504440.580000006</v>
      </c>
    </row>
    <row r="12" spans="2:8">
      <c r="B12" s="107" t="s">
        <v>4</v>
      </c>
      <c r="C12" s="6" t="s">
        <v>5</v>
      </c>
      <c r="D12" s="261">
        <v>53192156.670000002</v>
      </c>
      <c r="E12" s="262">
        <f>44723847.64-468463.69</f>
        <v>44255383.950000003</v>
      </c>
    </row>
    <row r="13" spans="2:8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v>165511.58000000002</v>
      </c>
      <c r="E14" s="262">
        <f>E15</f>
        <v>249056.63</v>
      </c>
    </row>
    <row r="15" spans="2:8">
      <c r="B15" s="107" t="s">
        <v>182</v>
      </c>
      <c r="C15" s="69" t="s">
        <v>11</v>
      </c>
      <c r="D15" s="261">
        <v>165511.58000000002</v>
      </c>
      <c r="E15" s="262">
        <v>249056.63</v>
      </c>
    </row>
    <row r="16" spans="2:8">
      <c r="B16" s="108" t="s">
        <v>183</v>
      </c>
      <c r="C16" s="92" t="s">
        <v>12</v>
      </c>
      <c r="D16" s="263"/>
      <c r="E16" s="264"/>
    </row>
    <row r="17" spans="2:7">
      <c r="B17" s="9" t="s">
        <v>13</v>
      </c>
      <c r="C17" s="11" t="s">
        <v>65</v>
      </c>
      <c r="D17" s="296">
        <v>121110.16</v>
      </c>
      <c r="E17" s="266">
        <f>SUM(E18:E19)</f>
        <v>88766.38</v>
      </c>
    </row>
    <row r="18" spans="2:7">
      <c r="B18" s="107" t="s">
        <v>4</v>
      </c>
      <c r="C18" s="6" t="s">
        <v>11</v>
      </c>
      <c r="D18" s="261">
        <v>121110.16</v>
      </c>
      <c r="E18" s="303">
        <v>88766.38</v>
      </c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v>53236558.090000004</v>
      </c>
      <c r="E21" s="229">
        <f>E11-E17</f>
        <v>44415674.200000003</v>
      </c>
      <c r="F21" s="78"/>
      <c r="G21" s="68"/>
    </row>
    <row r="22" spans="2:7">
      <c r="B22" s="3"/>
      <c r="C22" s="7"/>
      <c r="D22" s="8"/>
      <c r="E22" s="8"/>
    </row>
    <row r="23" spans="2:7" ht="15.75">
      <c r="B23" s="358"/>
      <c r="C23" s="366"/>
      <c r="D23" s="366"/>
      <c r="E23" s="366"/>
    </row>
    <row r="24" spans="2:7" ht="17.25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48329302.289999992</v>
      </c>
      <c r="E26" s="232">
        <f>D21</f>
        <v>53236558.090000004</v>
      </c>
    </row>
    <row r="27" spans="2:7">
      <c r="B27" s="9" t="s">
        <v>17</v>
      </c>
      <c r="C27" s="10" t="s">
        <v>187</v>
      </c>
      <c r="D27" s="201">
        <v>546813.99999999814</v>
      </c>
      <c r="E27" s="225">
        <f>E28-E32</f>
        <v>121640.58999999985</v>
      </c>
      <c r="F27" s="72"/>
    </row>
    <row r="28" spans="2:7">
      <c r="B28" s="9" t="s">
        <v>18</v>
      </c>
      <c r="C28" s="10" t="s">
        <v>19</v>
      </c>
      <c r="D28" s="201">
        <v>13557957.35</v>
      </c>
      <c r="E28" s="226">
        <v>11014966.9</v>
      </c>
      <c r="F28" s="72"/>
    </row>
    <row r="29" spans="2:7">
      <c r="B29" s="105" t="s">
        <v>4</v>
      </c>
      <c r="C29" s="6" t="s">
        <v>20</v>
      </c>
      <c r="D29" s="202">
        <v>11164174.51</v>
      </c>
      <c r="E29" s="227">
        <v>9550264.620000001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2393782.84</v>
      </c>
      <c r="E31" s="227">
        <v>1464702.28</v>
      </c>
      <c r="F31" s="72"/>
    </row>
    <row r="32" spans="2:7">
      <c r="B32" s="93" t="s">
        <v>23</v>
      </c>
      <c r="C32" s="11" t="s">
        <v>24</v>
      </c>
      <c r="D32" s="201">
        <v>13011143.350000001</v>
      </c>
      <c r="E32" s="226">
        <f>SUM(E33:E39)</f>
        <v>10893326.310000001</v>
      </c>
      <c r="F32" s="72"/>
    </row>
    <row r="33" spans="2:6">
      <c r="B33" s="105" t="s">
        <v>4</v>
      </c>
      <c r="C33" s="6" t="s">
        <v>25</v>
      </c>
      <c r="D33" s="202">
        <v>9157399.6699999999</v>
      </c>
      <c r="E33" s="227">
        <f>7835324.36+133582.28</f>
        <v>7968906.6400000006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1421802.05</v>
      </c>
      <c r="E35" s="227">
        <v>1328928.57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2431941.63</v>
      </c>
      <c r="E39" s="228">
        <v>1595491.1</v>
      </c>
      <c r="F39" s="72"/>
    </row>
    <row r="40" spans="2:6" ht="13.5" thickBot="1">
      <c r="B40" s="98" t="s">
        <v>35</v>
      </c>
      <c r="C40" s="99" t="s">
        <v>36</v>
      </c>
      <c r="D40" s="204">
        <v>4360441.8</v>
      </c>
      <c r="E40" s="233">
        <v>-8942524.4800000004</v>
      </c>
    </row>
    <row r="41" spans="2:6" ht="13.5" thickBot="1">
      <c r="B41" s="100" t="s">
        <v>37</v>
      </c>
      <c r="C41" s="101" t="s">
        <v>38</v>
      </c>
      <c r="D41" s="205">
        <v>53236558.089999989</v>
      </c>
      <c r="E41" s="149">
        <f>E26+E27+E40</f>
        <v>44415674.200000003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7.2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3817170.7087205527</v>
      </c>
      <c r="E47" s="74">
        <v>3853115.5855999999</v>
      </c>
    </row>
    <row r="48" spans="2:6">
      <c r="B48" s="124" t="s">
        <v>6</v>
      </c>
      <c r="C48" s="22" t="s">
        <v>41</v>
      </c>
      <c r="D48" s="207">
        <v>3853115.5855999999</v>
      </c>
      <c r="E48" s="302">
        <v>3858232.0539199999</v>
      </c>
    </row>
    <row r="49" spans="2:5">
      <c r="B49" s="121" t="s">
        <v>23</v>
      </c>
      <c r="C49" s="125" t="s">
        <v>189</v>
      </c>
      <c r="D49" s="208"/>
      <c r="E49" s="74"/>
    </row>
    <row r="50" spans="2:5">
      <c r="B50" s="103" t="s">
        <v>4</v>
      </c>
      <c r="C50" s="15" t="s">
        <v>40</v>
      </c>
      <c r="D50" s="206">
        <v>12.661027231396501</v>
      </c>
      <c r="E50" s="74">
        <v>13.8164965226125</v>
      </c>
    </row>
    <row r="51" spans="2:5">
      <c r="B51" s="103" t="s">
        <v>6</v>
      </c>
      <c r="C51" s="15" t="s">
        <v>190</v>
      </c>
      <c r="D51" s="294">
        <v>12.6327</v>
      </c>
      <c r="E51" s="74">
        <v>11.444000000000001</v>
      </c>
    </row>
    <row r="52" spans="2:5">
      <c r="B52" s="103" t="s">
        <v>8</v>
      </c>
      <c r="C52" s="15" t="s">
        <v>191</v>
      </c>
      <c r="D52" s="294">
        <v>14.785500000000001</v>
      </c>
      <c r="E52" s="74">
        <v>14.295</v>
      </c>
    </row>
    <row r="53" spans="2:5" ht="13.5" thickBot="1">
      <c r="B53" s="104" t="s">
        <v>9</v>
      </c>
      <c r="C53" s="17" t="s">
        <v>41</v>
      </c>
      <c r="D53" s="210">
        <v>13.8164965226125</v>
      </c>
      <c r="E53" s="234">
        <v>11.5119240054296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44255383.950000003</v>
      </c>
      <c r="E58" s="32">
        <f>D58/E21</f>
        <v>0.99639113324547934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153">
        <f>44356147.07-468463.69</f>
        <v>43887683.380000003</v>
      </c>
      <c r="E64" s="82">
        <f>D64/E21</f>
        <v>0.98811251141607126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6">
        <v>367700.57</v>
      </c>
      <c r="E69" s="80">
        <f>D69/E21</f>
        <v>8.278621829408141E-3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249056.63</v>
      </c>
      <c r="E72" s="120">
        <f>D72/E21</f>
        <v>5.6074040186470924E-3</v>
      </c>
    </row>
    <row r="73" spans="2:5">
      <c r="B73" s="23" t="s">
        <v>62</v>
      </c>
      <c r="C73" s="24" t="s">
        <v>65</v>
      </c>
      <c r="D73" s="25">
        <f>E17</f>
        <v>88766.38</v>
      </c>
      <c r="E73" s="26">
        <f>D73/E21</f>
        <v>1.9985372641264554E-3</v>
      </c>
    </row>
    <row r="74" spans="2:5">
      <c r="B74" s="121" t="s">
        <v>64</v>
      </c>
      <c r="C74" s="122" t="s">
        <v>66</v>
      </c>
      <c r="D74" s="123">
        <f>D58+D71+D72-D73</f>
        <v>44415674.200000003</v>
      </c>
      <c r="E74" s="67">
        <f>E58+E72-E73</f>
        <v>1</v>
      </c>
    </row>
    <row r="75" spans="2:5">
      <c r="B75" s="14" t="s">
        <v>4</v>
      </c>
      <c r="C75" s="15" t="s">
        <v>67</v>
      </c>
      <c r="D75" s="79">
        <f>D74</f>
        <v>44415674.200000003</v>
      </c>
      <c r="E75" s="80">
        <f>E74</f>
        <v>1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4" t="s">
        <v>0</v>
      </c>
      <c r="C2" s="354"/>
      <c r="D2" s="354"/>
      <c r="E2" s="354"/>
    </row>
    <row r="3" spans="2:5" customFormat="1" ht="15.75">
      <c r="B3" s="354" t="s">
        <v>290</v>
      </c>
      <c r="C3" s="354"/>
      <c r="D3" s="354"/>
      <c r="E3" s="354"/>
    </row>
    <row r="4" spans="2:5" customFormat="1" ht="15">
      <c r="B4" s="148"/>
      <c r="C4" s="148"/>
      <c r="D4" s="148"/>
      <c r="E4" s="148"/>
    </row>
    <row r="5" spans="2:5" customFormat="1" ht="14.25">
      <c r="B5" s="355" t="s">
        <v>1</v>
      </c>
      <c r="C5" s="355"/>
      <c r="D5" s="355"/>
      <c r="E5" s="355"/>
    </row>
    <row r="6" spans="2:5" customFormat="1" ht="14.25" customHeight="1">
      <c r="B6" s="356" t="s">
        <v>202</v>
      </c>
      <c r="C6" s="356"/>
      <c r="D6" s="356"/>
      <c r="E6" s="356"/>
    </row>
    <row r="7" spans="2:5" customFormat="1" ht="14.25">
      <c r="B7" s="154"/>
      <c r="C7" s="154"/>
      <c r="D7" s="154"/>
      <c r="E7" s="154"/>
    </row>
    <row r="8" spans="2:5" customFormat="1" ht="13.5">
      <c r="B8" s="358" t="s">
        <v>18</v>
      </c>
      <c r="C8" s="360"/>
      <c r="D8" s="360"/>
      <c r="E8" s="360"/>
    </row>
    <row r="9" spans="2:5" customFormat="1" ht="16.5" thickBot="1">
      <c r="B9" s="357" t="s">
        <v>179</v>
      </c>
      <c r="C9" s="357"/>
      <c r="D9" s="357"/>
      <c r="E9" s="357"/>
    </row>
    <row r="10" spans="2:5" customFormat="1" ht="13.5" thickBot="1">
      <c r="B10" s="155"/>
      <c r="C10" s="77" t="s">
        <v>2</v>
      </c>
      <c r="D10" s="71" t="s">
        <v>223</v>
      </c>
      <c r="E10" s="29" t="s">
        <v>267</v>
      </c>
    </row>
    <row r="11" spans="2:5" customFormat="1">
      <c r="B11" s="91" t="s">
        <v>3</v>
      </c>
      <c r="C11" s="129" t="s">
        <v>185</v>
      </c>
      <c r="D11" s="257">
        <v>69905.100000000006</v>
      </c>
      <c r="E11" s="258">
        <f>E12</f>
        <v>60546.06</v>
      </c>
    </row>
    <row r="12" spans="2:5" customFormat="1">
      <c r="B12" s="173" t="s">
        <v>4</v>
      </c>
      <c r="C12" s="174" t="s">
        <v>5</v>
      </c>
      <c r="D12" s="261">
        <v>69905.100000000006</v>
      </c>
      <c r="E12" s="337">
        <v>60546.06</v>
      </c>
    </row>
    <row r="13" spans="2:5" customFormat="1">
      <c r="B13" s="173" t="s">
        <v>6</v>
      </c>
      <c r="C13" s="175" t="s">
        <v>7</v>
      </c>
      <c r="D13" s="261"/>
      <c r="E13" s="350"/>
    </row>
    <row r="14" spans="2:5" customFormat="1">
      <c r="B14" s="173" t="s">
        <v>8</v>
      </c>
      <c r="C14" s="175" t="s">
        <v>10</v>
      </c>
      <c r="D14" s="261"/>
      <c r="E14" s="350"/>
    </row>
    <row r="15" spans="2:5" customFormat="1">
      <c r="B15" s="173" t="s">
        <v>182</v>
      </c>
      <c r="C15" s="175" t="s">
        <v>11</v>
      </c>
      <c r="D15" s="261"/>
      <c r="E15" s="262"/>
    </row>
    <row r="16" spans="2:5" customFormat="1">
      <c r="B16" s="176" t="s">
        <v>183</v>
      </c>
      <c r="C16" s="177" t="s">
        <v>12</v>
      </c>
      <c r="D16" s="263"/>
      <c r="E16" s="264"/>
    </row>
    <row r="17" spans="2:6" customFormat="1">
      <c r="B17" s="9" t="s">
        <v>13</v>
      </c>
      <c r="C17" s="11" t="s">
        <v>65</v>
      </c>
      <c r="D17" s="296"/>
      <c r="E17" s="266"/>
    </row>
    <row r="18" spans="2:6" customFormat="1">
      <c r="B18" s="173" t="s">
        <v>4</v>
      </c>
      <c r="C18" s="174" t="s">
        <v>11</v>
      </c>
      <c r="D18" s="261"/>
      <c r="E18" s="264"/>
    </row>
    <row r="19" spans="2:6" customFormat="1" ht="15" customHeight="1">
      <c r="B19" s="173" t="s">
        <v>6</v>
      </c>
      <c r="C19" s="175" t="s">
        <v>184</v>
      </c>
      <c r="D19" s="261"/>
      <c r="E19" s="262"/>
    </row>
    <row r="20" spans="2:6" customFormat="1" ht="13.5" thickBot="1">
      <c r="B20" s="178" t="s">
        <v>8</v>
      </c>
      <c r="C20" s="179" t="s">
        <v>14</v>
      </c>
      <c r="D20" s="267"/>
      <c r="E20" s="268"/>
    </row>
    <row r="21" spans="2:6" customFormat="1" ht="13.5" thickBot="1">
      <c r="B21" s="364" t="s">
        <v>186</v>
      </c>
      <c r="C21" s="365"/>
      <c r="D21" s="269">
        <v>69905.100000000006</v>
      </c>
      <c r="E21" s="149">
        <f>E11</f>
        <v>60546.06</v>
      </c>
      <c r="F21" s="78"/>
    </row>
    <row r="22" spans="2:6" customFormat="1">
      <c r="B22" s="3"/>
      <c r="C22" s="7"/>
      <c r="D22" s="8"/>
      <c r="E22" s="8"/>
    </row>
    <row r="23" spans="2:6" customFormat="1" ht="13.5">
      <c r="B23" s="358" t="s">
        <v>180</v>
      </c>
      <c r="C23" s="368"/>
      <c r="D23" s="368"/>
      <c r="E23" s="368"/>
    </row>
    <row r="24" spans="2:6" customFormat="1" ht="15.75" customHeight="1" thickBot="1">
      <c r="B24" s="357" t="s">
        <v>181</v>
      </c>
      <c r="C24" s="369"/>
      <c r="D24" s="369"/>
      <c r="E24" s="369"/>
    </row>
    <row r="25" spans="2:6" customFormat="1" ht="13.5" thickBot="1">
      <c r="B25" s="215"/>
      <c r="C25" s="180" t="s">
        <v>2</v>
      </c>
      <c r="D25" s="71" t="s">
        <v>223</v>
      </c>
      <c r="E25" s="29" t="s">
        <v>267</v>
      </c>
    </row>
    <row r="26" spans="2:6" customFormat="1">
      <c r="B26" s="96" t="s">
        <v>15</v>
      </c>
      <c r="C26" s="97" t="s">
        <v>16</v>
      </c>
      <c r="D26" s="200">
        <v>141464.54999999999</v>
      </c>
      <c r="E26" s="232">
        <f>D21</f>
        <v>69905.100000000006</v>
      </c>
    </row>
    <row r="27" spans="2:6" customFormat="1">
      <c r="B27" s="9" t="s">
        <v>17</v>
      </c>
      <c r="C27" s="10" t="s">
        <v>187</v>
      </c>
      <c r="D27" s="201">
        <v>-81033.080000000016</v>
      </c>
      <c r="E27" s="225">
        <f>E28-E32</f>
        <v>-9738.2800000000007</v>
      </c>
      <c r="F27" s="72"/>
    </row>
    <row r="28" spans="2:6" customFormat="1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 customFormat="1">
      <c r="B29" s="181" t="s">
        <v>4</v>
      </c>
      <c r="C29" s="174" t="s">
        <v>20</v>
      </c>
      <c r="D29" s="202"/>
      <c r="E29" s="227"/>
      <c r="F29" s="72"/>
    </row>
    <row r="30" spans="2:6" customFormat="1">
      <c r="B30" s="181" t="s">
        <v>6</v>
      </c>
      <c r="C30" s="174" t="s">
        <v>21</v>
      </c>
      <c r="D30" s="202"/>
      <c r="E30" s="227"/>
      <c r="F30" s="72"/>
    </row>
    <row r="31" spans="2:6" customFormat="1">
      <c r="B31" s="181" t="s">
        <v>8</v>
      </c>
      <c r="C31" s="174" t="s">
        <v>22</v>
      </c>
      <c r="D31" s="202"/>
      <c r="E31" s="227"/>
      <c r="F31" s="72"/>
    </row>
    <row r="32" spans="2:6" customFormat="1">
      <c r="B32" s="93" t="s">
        <v>23</v>
      </c>
      <c r="C32" s="11" t="s">
        <v>24</v>
      </c>
      <c r="D32" s="201">
        <v>81033.080000000016</v>
      </c>
      <c r="E32" s="226">
        <f>E33+E35+E37+E39</f>
        <v>9738.2800000000007</v>
      </c>
      <c r="F32" s="72"/>
    </row>
    <row r="33" spans="2:6" customFormat="1">
      <c r="B33" s="181" t="s">
        <v>4</v>
      </c>
      <c r="C33" s="174" t="s">
        <v>25</v>
      </c>
      <c r="D33" s="202">
        <v>79150.880000000005</v>
      </c>
      <c r="E33" s="227">
        <v>8309.26</v>
      </c>
      <c r="F33" s="72"/>
    </row>
    <row r="34" spans="2:6" customFormat="1">
      <c r="B34" s="181" t="s">
        <v>6</v>
      </c>
      <c r="C34" s="174" t="s">
        <v>26</v>
      </c>
      <c r="D34" s="202"/>
      <c r="E34" s="227"/>
      <c r="F34" s="72"/>
    </row>
    <row r="35" spans="2:6" customFormat="1">
      <c r="B35" s="181" t="s">
        <v>8</v>
      </c>
      <c r="C35" s="174" t="s">
        <v>27</v>
      </c>
      <c r="D35" s="202">
        <v>330.07</v>
      </c>
      <c r="E35" s="227">
        <v>316.58999999999997</v>
      </c>
      <c r="F35" s="72"/>
    </row>
    <row r="36" spans="2:6" customFormat="1">
      <c r="B36" s="181" t="s">
        <v>9</v>
      </c>
      <c r="C36" s="174" t="s">
        <v>28</v>
      </c>
      <c r="D36" s="202"/>
      <c r="E36" s="227"/>
      <c r="F36" s="72"/>
    </row>
    <row r="37" spans="2:6" customFormat="1" ht="25.5">
      <c r="B37" s="181" t="s">
        <v>29</v>
      </c>
      <c r="C37" s="174" t="s">
        <v>30</v>
      </c>
      <c r="D37" s="202">
        <v>1552.13</v>
      </c>
      <c r="E37" s="227">
        <v>1112.43</v>
      </c>
      <c r="F37" s="72"/>
    </row>
    <row r="38" spans="2:6" customFormat="1">
      <c r="B38" s="181" t="s">
        <v>31</v>
      </c>
      <c r="C38" s="174" t="s">
        <v>32</v>
      </c>
      <c r="D38" s="202"/>
      <c r="E38" s="227"/>
      <c r="F38" s="72"/>
    </row>
    <row r="39" spans="2:6" customFormat="1">
      <c r="B39" s="182" t="s">
        <v>33</v>
      </c>
      <c r="C39" s="183" t="s">
        <v>34</v>
      </c>
      <c r="D39" s="203"/>
      <c r="E39" s="228"/>
      <c r="F39" s="72"/>
    </row>
    <row r="40" spans="2:6" customFormat="1" ht="13.5" thickBot="1">
      <c r="B40" s="98" t="s">
        <v>35</v>
      </c>
      <c r="C40" s="99" t="s">
        <v>36</v>
      </c>
      <c r="D40" s="204">
        <v>9473.6299999999992</v>
      </c>
      <c r="E40" s="233">
        <v>379.24</v>
      </c>
    </row>
    <row r="41" spans="2:6" customFormat="1" ht="13.5" thickBot="1">
      <c r="B41" s="100" t="s">
        <v>37</v>
      </c>
      <c r="C41" s="101" t="s">
        <v>38</v>
      </c>
      <c r="D41" s="205">
        <v>69905.099999999977</v>
      </c>
      <c r="E41" s="149">
        <f>E26+E27+E40</f>
        <v>60546.060000000005</v>
      </c>
      <c r="F41" s="78"/>
    </row>
    <row r="42" spans="2:6" customFormat="1">
      <c r="B42" s="94"/>
      <c r="C42" s="94"/>
      <c r="D42" s="95"/>
      <c r="E42" s="95"/>
      <c r="F42" s="78"/>
    </row>
    <row r="43" spans="2:6" customFormat="1" ht="13.5">
      <c r="B43" s="359" t="s">
        <v>60</v>
      </c>
      <c r="C43" s="371"/>
      <c r="D43" s="371"/>
      <c r="E43" s="371"/>
    </row>
    <row r="44" spans="2:6" customFormat="1" ht="18" customHeight="1" thickBot="1">
      <c r="B44" s="357" t="s">
        <v>204</v>
      </c>
      <c r="C44" s="370"/>
      <c r="D44" s="370"/>
      <c r="E44" s="370"/>
    </row>
    <row r="45" spans="2:6" customFormat="1" ht="13.5" thickBot="1">
      <c r="B45" s="215"/>
      <c r="C45" s="30" t="s">
        <v>39</v>
      </c>
      <c r="D45" s="71" t="s">
        <v>223</v>
      </c>
      <c r="E45" s="29" t="s">
        <v>267</v>
      </c>
    </row>
    <row r="46" spans="2:6" customFormat="1">
      <c r="B46" s="13" t="s">
        <v>18</v>
      </c>
      <c r="C46" s="31" t="s">
        <v>188</v>
      </c>
      <c r="D46" s="102"/>
      <c r="E46" s="28"/>
    </row>
    <row r="47" spans="2:6" customFormat="1">
      <c r="B47" s="184" t="s">
        <v>4</v>
      </c>
      <c r="C47" s="185" t="s">
        <v>40</v>
      </c>
      <c r="D47" s="206">
        <v>4613.9773999999998</v>
      </c>
      <c r="E47" s="150">
        <v>2059.6671000000001</v>
      </c>
    </row>
    <row r="48" spans="2:6" customFormat="1">
      <c r="B48" s="186" t="s">
        <v>6</v>
      </c>
      <c r="C48" s="187" t="s">
        <v>41</v>
      </c>
      <c r="D48" s="207">
        <v>2059.6671000000001</v>
      </c>
      <c r="E48" s="334">
        <v>1778.6739</v>
      </c>
    </row>
    <row r="49" spans="2:5" customFormat="1">
      <c r="B49" s="121" t="s">
        <v>23</v>
      </c>
      <c r="C49" s="125" t="s">
        <v>189</v>
      </c>
      <c r="D49" s="208"/>
      <c r="E49" s="254"/>
    </row>
    <row r="50" spans="2:5" customFormat="1">
      <c r="B50" s="184" t="s">
        <v>4</v>
      </c>
      <c r="C50" s="185" t="s">
        <v>40</v>
      </c>
      <c r="D50" s="206">
        <v>30.66</v>
      </c>
      <c r="E50" s="150">
        <v>33.94</v>
      </c>
    </row>
    <row r="51" spans="2:5" customFormat="1">
      <c r="B51" s="184" t="s">
        <v>6</v>
      </c>
      <c r="C51" s="185" t="s">
        <v>190</v>
      </c>
      <c r="D51" s="209">
        <v>30.66</v>
      </c>
      <c r="E51" s="76">
        <v>33.549999999999997</v>
      </c>
    </row>
    <row r="52" spans="2:5" customFormat="1">
      <c r="B52" s="184" t="s">
        <v>8</v>
      </c>
      <c r="C52" s="185" t="s">
        <v>191</v>
      </c>
      <c r="D52" s="209">
        <v>34.090000000000003</v>
      </c>
      <c r="E52" s="76">
        <v>37.1</v>
      </c>
    </row>
    <row r="53" spans="2:5" customFormat="1" ht="13.5" thickBot="1">
      <c r="B53" s="188" t="s">
        <v>9</v>
      </c>
      <c r="C53" s="189" t="s">
        <v>41</v>
      </c>
      <c r="D53" s="210">
        <v>33.94</v>
      </c>
      <c r="E53" s="343">
        <v>34.04</v>
      </c>
    </row>
    <row r="54" spans="2:5" customFormat="1">
      <c r="B54" s="110"/>
      <c r="C54" s="111"/>
      <c r="D54" s="112"/>
      <c r="E54" s="112"/>
    </row>
    <row r="55" spans="2:5" customFormat="1" ht="13.5">
      <c r="B55" s="359" t="s">
        <v>62</v>
      </c>
      <c r="C55" s="360"/>
      <c r="D55" s="360"/>
      <c r="E55" s="360"/>
    </row>
    <row r="56" spans="2:5" customFormat="1" ht="14.25" thickBot="1">
      <c r="B56" s="357" t="s">
        <v>192</v>
      </c>
      <c r="C56" s="361"/>
      <c r="D56" s="361"/>
      <c r="E56" s="361"/>
    </row>
    <row r="57" spans="2:5" customFormat="1" ht="23.25" thickBot="1">
      <c r="B57" s="352" t="s">
        <v>42</v>
      </c>
      <c r="C57" s="353"/>
      <c r="D57" s="18" t="s">
        <v>205</v>
      </c>
      <c r="E57" s="19" t="s">
        <v>193</v>
      </c>
    </row>
    <row r="58" spans="2:5" customFormat="1">
      <c r="B58" s="20" t="s">
        <v>18</v>
      </c>
      <c r="C58" s="127" t="s">
        <v>43</v>
      </c>
      <c r="D58" s="128">
        <f>D64</f>
        <v>60546.06</v>
      </c>
      <c r="E58" s="32">
        <f>D58/E21</f>
        <v>1</v>
      </c>
    </row>
    <row r="59" spans="2:5" customFormat="1" ht="25.5">
      <c r="B59" s="124" t="s">
        <v>4</v>
      </c>
      <c r="C59" s="22" t="s">
        <v>44</v>
      </c>
      <c r="D59" s="81">
        <v>0</v>
      </c>
      <c r="E59" s="82">
        <v>0</v>
      </c>
    </row>
    <row r="60" spans="2:5" customFormat="1" ht="25.5">
      <c r="B60" s="103" t="s">
        <v>6</v>
      </c>
      <c r="C60" s="15" t="s">
        <v>45</v>
      </c>
      <c r="D60" s="79">
        <v>0</v>
      </c>
      <c r="E60" s="80">
        <v>0</v>
      </c>
    </row>
    <row r="61" spans="2:5" customFormat="1">
      <c r="B61" s="103" t="s">
        <v>8</v>
      </c>
      <c r="C61" s="15" t="s">
        <v>46</v>
      </c>
      <c r="D61" s="79">
        <v>0</v>
      </c>
      <c r="E61" s="80">
        <v>0</v>
      </c>
    </row>
    <row r="62" spans="2:5" customFormat="1">
      <c r="B62" s="103" t="s">
        <v>9</v>
      </c>
      <c r="C62" s="15" t="s">
        <v>47</v>
      </c>
      <c r="D62" s="79">
        <v>0</v>
      </c>
      <c r="E62" s="80">
        <v>0</v>
      </c>
    </row>
    <row r="63" spans="2:5" customFormat="1">
      <c r="B63" s="103" t="s">
        <v>29</v>
      </c>
      <c r="C63" s="15" t="s">
        <v>48</v>
      </c>
      <c r="D63" s="79">
        <v>0</v>
      </c>
      <c r="E63" s="80">
        <v>0</v>
      </c>
    </row>
    <row r="64" spans="2:5" customFormat="1">
      <c r="B64" s="124" t="s">
        <v>31</v>
      </c>
      <c r="C64" s="22" t="s">
        <v>49</v>
      </c>
      <c r="D64" s="81">
        <f>E21</f>
        <v>60546.06</v>
      </c>
      <c r="E64" s="82">
        <f>E58</f>
        <v>1</v>
      </c>
    </row>
    <row r="65" spans="2:5" customFormat="1">
      <c r="B65" s="124" t="s">
        <v>33</v>
      </c>
      <c r="C65" s="22" t="s">
        <v>194</v>
      </c>
      <c r="D65" s="81">
        <v>0</v>
      </c>
      <c r="E65" s="82">
        <v>0</v>
      </c>
    </row>
    <row r="66" spans="2:5" customFormat="1">
      <c r="B66" s="124" t="s">
        <v>50</v>
      </c>
      <c r="C66" s="22" t="s">
        <v>51</v>
      </c>
      <c r="D66" s="81">
        <v>0</v>
      </c>
      <c r="E66" s="82">
        <v>0</v>
      </c>
    </row>
    <row r="67" spans="2:5" customFormat="1">
      <c r="B67" s="103" t="s">
        <v>52</v>
      </c>
      <c r="C67" s="15" t="s">
        <v>53</v>
      </c>
      <c r="D67" s="79">
        <v>0</v>
      </c>
      <c r="E67" s="80">
        <v>0</v>
      </c>
    </row>
    <row r="68" spans="2:5" customFormat="1">
      <c r="B68" s="103" t="s">
        <v>54</v>
      </c>
      <c r="C68" s="15" t="s">
        <v>55</v>
      </c>
      <c r="D68" s="79">
        <v>0</v>
      </c>
      <c r="E68" s="80">
        <v>0</v>
      </c>
    </row>
    <row r="69" spans="2:5" customFormat="1">
      <c r="B69" s="103" t="s">
        <v>56</v>
      </c>
      <c r="C69" s="15" t="s">
        <v>57</v>
      </c>
      <c r="D69" s="311">
        <v>0</v>
      </c>
      <c r="E69" s="80">
        <v>0</v>
      </c>
    </row>
    <row r="70" spans="2:5" customFormat="1">
      <c r="B70" s="130" t="s">
        <v>58</v>
      </c>
      <c r="C70" s="114" t="s">
        <v>59</v>
      </c>
      <c r="D70" s="115">
        <v>0</v>
      </c>
      <c r="E70" s="116">
        <v>0</v>
      </c>
    </row>
    <row r="71" spans="2:5" customFormat="1">
      <c r="B71" s="131" t="s">
        <v>23</v>
      </c>
      <c r="C71" s="122" t="s">
        <v>61</v>
      </c>
      <c r="D71" s="123">
        <v>0</v>
      </c>
      <c r="E71" s="67">
        <v>0</v>
      </c>
    </row>
    <row r="72" spans="2:5" customFormat="1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customFormat="1">
      <c r="B73" s="133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1" t="s">
        <v>64</v>
      </c>
      <c r="C74" s="122" t="s">
        <v>66</v>
      </c>
      <c r="D74" s="123">
        <f>D58</f>
        <v>60546.06</v>
      </c>
      <c r="E74" s="67">
        <f>E58+E72-E73</f>
        <v>1</v>
      </c>
    </row>
    <row r="75" spans="2:5" customFormat="1">
      <c r="B75" s="103" t="s">
        <v>4</v>
      </c>
      <c r="C75" s="15" t="s">
        <v>67</v>
      </c>
      <c r="D75" s="79">
        <f>D74</f>
        <v>60546.06</v>
      </c>
      <c r="E75" s="80">
        <f>E74</f>
        <v>1</v>
      </c>
    </row>
    <row r="76" spans="2:5" customFormat="1">
      <c r="B76" s="103" t="s">
        <v>6</v>
      </c>
      <c r="C76" s="15" t="s">
        <v>195</v>
      </c>
      <c r="D76" s="79">
        <v>0</v>
      </c>
      <c r="E76" s="80">
        <v>0</v>
      </c>
    </row>
    <row r="77" spans="2:5" customFormat="1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4" t="s">
        <v>0</v>
      </c>
      <c r="C2" s="354"/>
      <c r="D2" s="354"/>
      <c r="E2" s="354"/>
    </row>
    <row r="3" spans="2:5" customFormat="1" ht="15.75">
      <c r="B3" s="354" t="s">
        <v>290</v>
      </c>
      <c r="C3" s="354"/>
      <c r="D3" s="354"/>
      <c r="E3" s="354"/>
    </row>
    <row r="4" spans="2:5" customFormat="1" ht="15">
      <c r="B4" s="148"/>
      <c r="C4" s="148"/>
      <c r="D4" s="148"/>
      <c r="E4" s="148"/>
    </row>
    <row r="5" spans="2:5" customFormat="1" ht="14.25">
      <c r="B5" s="355" t="s">
        <v>1</v>
      </c>
      <c r="C5" s="355"/>
      <c r="D5" s="355"/>
      <c r="E5" s="355"/>
    </row>
    <row r="6" spans="2:5" customFormat="1" ht="14.25">
      <c r="B6" s="356" t="s">
        <v>224</v>
      </c>
      <c r="C6" s="356"/>
      <c r="D6" s="356"/>
      <c r="E6" s="356"/>
    </row>
    <row r="7" spans="2:5" customFormat="1" ht="14.25">
      <c r="B7" s="214"/>
      <c r="C7" s="214"/>
      <c r="D7" s="214"/>
      <c r="E7" s="214"/>
    </row>
    <row r="8" spans="2:5" customFormat="1" ht="13.5">
      <c r="B8" s="358" t="s">
        <v>18</v>
      </c>
      <c r="C8" s="360"/>
      <c r="D8" s="360"/>
      <c r="E8" s="360"/>
    </row>
    <row r="9" spans="2:5" customFormat="1" ht="16.5" thickBot="1">
      <c r="B9" s="357" t="s">
        <v>179</v>
      </c>
      <c r="C9" s="357"/>
      <c r="D9" s="357"/>
      <c r="E9" s="357"/>
    </row>
    <row r="10" spans="2:5" customFormat="1" ht="13.5" thickBot="1">
      <c r="B10" s="213"/>
      <c r="C10" s="77" t="s">
        <v>2</v>
      </c>
      <c r="D10" s="71" t="s">
        <v>223</v>
      </c>
      <c r="E10" s="29" t="s">
        <v>267</v>
      </c>
    </row>
    <row r="11" spans="2:5" customFormat="1">
      <c r="B11" s="91" t="s">
        <v>3</v>
      </c>
      <c r="C11" s="129" t="s">
        <v>185</v>
      </c>
      <c r="D11" s="257">
        <v>30289.21</v>
      </c>
      <c r="E11" s="258" t="str">
        <f>E12</f>
        <v>-</v>
      </c>
    </row>
    <row r="12" spans="2:5" customFormat="1">
      <c r="B12" s="173" t="s">
        <v>4</v>
      </c>
      <c r="C12" s="174" t="s">
        <v>5</v>
      </c>
      <c r="D12" s="261">
        <v>30289.21</v>
      </c>
      <c r="E12" s="262" t="s">
        <v>206</v>
      </c>
    </row>
    <row r="13" spans="2:5" customFormat="1">
      <c r="B13" s="173" t="s">
        <v>6</v>
      </c>
      <c r="C13" s="175" t="s">
        <v>7</v>
      </c>
      <c r="D13" s="261"/>
      <c r="E13" s="262"/>
    </row>
    <row r="14" spans="2:5" customFormat="1">
      <c r="B14" s="173" t="s">
        <v>8</v>
      </c>
      <c r="C14" s="175" t="s">
        <v>10</v>
      </c>
      <c r="D14" s="261"/>
      <c r="E14" s="262"/>
    </row>
    <row r="15" spans="2:5" customFormat="1">
      <c r="B15" s="173" t="s">
        <v>182</v>
      </c>
      <c r="C15" s="175" t="s">
        <v>11</v>
      </c>
      <c r="D15" s="261"/>
      <c r="E15" s="262"/>
    </row>
    <row r="16" spans="2:5" customFormat="1">
      <c r="B16" s="176" t="s">
        <v>183</v>
      </c>
      <c r="C16" s="177" t="s">
        <v>12</v>
      </c>
      <c r="D16" s="263"/>
      <c r="E16" s="264"/>
    </row>
    <row r="17" spans="2:6" customFormat="1">
      <c r="B17" s="9" t="s">
        <v>13</v>
      </c>
      <c r="C17" s="11" t="s">
        <v>65</v>
      </c>
      <c r="D17" s="296"/>
      <c r="E17" s="266"/>
    </row>
    <row r="18" spans="2:6" customFormat="1">
      <c r="B18" s="173" t="s">
        <v>4</v>
      </c>
      <c r="C18" s="174" t="s">
        <v>11</v>
      </c>
      <c r="D18" s="261"/>
      <c r="E18" s="264"/>
    </row>
    <row r="19" spans="2:6" customFormat="1" ht="15" customHeight="1">
      <c r="B19" s="173" t="s">
        <v>6</v>
      </c>
      <c r="C19" s="175" t="s">
        <v>184</v>
      </c>
      <c r="D19" s="261"/>
      <c r="E19" s="262"/>
    </row>
    <row r="20" spans="2:6" customFormat="1" ht="13.5" thickBot="1">
      <c r="B20" s="178" t="s">
        <v>8</v>
      </c>
      <c r="C20" s="179" t="s">
        <v>14</v>
      </c>
      <c r="D20" s="267"/>
      <c r="E20" s="268"/>
    </row>
    <row r="21" spans="2:6" customFormat="1" ht="13.5" thickBot="1">
      <c r="B21" s="364" t="s">
        <v>186</v>
      </c>
      <c r="C21" s="365"/>
      <c r="D21" s="269">
        <v>30289.21</v>
      </c>
      <c r="E21" s="149" t="str">
        <f>E11</f>
        <v>-</v>
      </c>
      <c r="F21" s="78"/>
    </row>
    <row r="22" spans="2:6" customFormat="1">
      <c r="B22" s="3"/>
      <c r="C22" s="7"/>
      <c r="D22" s="8"/>
      <c r="E22" s="8"/>
    </row>
    <row r="23" spans="2:6" customFormat="1" ht="13.5">
      <c r="B23" s="358" t="s">
        <v>180</v>
      </c>
      <c r="C23" s="368"/>
      <c r="D23" s="368"/>
      <c r="E23" s="368"/>
    </row>
    <row r="24" spans="2:6" customFormat="1" ht="15.75" customHeight="1" thickBot="1">
      <c r="B24" s="357" t="s">
        <v>181</v>
      </c>
      <c r="C24" s="369"/>
      <c r="D24" s="369"/>
      <c r="E24" s="369"/>
    </row>
    <row r="25" spans="2:6" customFormat="1" ht="13.5" thickBot="1">
      <c r="B25" s="215"/>
      <c r="C25" s="180" t="s">
        <v>2</v>
      </c>
      <c r="D25" s="71" t="s">
        <v>223</v>
      </c>
      <c r="E25" s="29" t="s">
        <v>267</v>
      </c>
    </row>
    <row r="26" spans="2:6" customFormat="1">
      <c r="B26" s="96" t="s">
        <v>15</v>
      </c>
      <c r="C26" s="97" t="s">
        <v>16</v>
      </c>
      <c r="D26" s="200" t="s">
        <v>206</v>
      </c>
      <c r="E26" s="232">
        <f>D21</f>
        <v>30289.21</v>
      </c>
    </row>
    <row r="27" spans="2:6" customFormat="1">
      <c r="B27" s="9" t="s">
        <v>17</v>
      </c>
      <c r="C27" s="10" t="s">
        <v>187</v>
      </c>
      <c r="D27" s="201">
        <v>29852.6</v>
      </c>
      <c r="E27" s="225">
        <f>E28-E32</f>
        <v>-31198.41</v>
      </c>
      <c r="F27" s="72"/>
    </row>
    <row r="28" spans="2:6" customFormat="1">
      <c r="B28" s="9" t="s">
        <v>18</v>
      </c>
      <c r="C28" s="10" t="s">
        <v>19</v>
      </c>
      <c r="D28" s="201">
        <v>29852.6</v>
      </c>
      <c r="E28" s="226">
        <f>E29+E30+E31</f>
        <v>0</v>
      </c>
      <c r="F28" s="72"/>
    </row>
    <row r="29" spans="2:6" customFormat="1">
      <c r="B29" s="181" t="s">
        <v>4</v>
      </c>
      <c r="C29" s="174" t="s">
        <v>20</v>
      </c>
      <c r="D29" s="202"/>
      <c r="E29" s="227"/>
      <c r="F29" s="72"/>
    </row>
    <row r="30" spans="2:6" customFormat="1">
      <c r="B30" s="181" t="s">
        <v>6</v>
      </c>
      <c r="C30" s="174" t="s">
        <v>21</v>
      </c>
      <c r="D30" s="202"/>
      <c r="E30" s="227"/>
      <c r="F30" s="72"/>
    </row>
    <row r="31" spans="2:6" customFormat="1">
      <c r="B31" s="181" t="s">
        <v>8</v>
      </c>
      <c r="C31" s="174" t="s">
        <v>22</v>
      </c>
      <c r="D31" s="202">
        <v>29852.6</v>
      </c>
      <c r="E31" s="227"/>
      <c r="F31" s="72"/>
    </row>
    <row r="32" spans="2:6" customFormat="1">
      <c r="B32" s="93" t="s">
        <v>23</v>
      </c>
      <c r="C32" s="11" t="s">
        <v>24</v>
      </c>
      <c r="D32" s="201" t="s">
        <v>206</v>
      </c>
      <c r="E32" s="226">
        <f>E33+E35+E37+E39</f>
        <v>31198.41</v>
      </c>
      <c r="F32" s="72"/>
    </row>
    <row r="33" spans="2:6" customFormat="1">
      <c r="B33" s="181" t="s">
        <v>4</v>
      </c>
      <c r="C33" s="174" t="s">
        <v>25</v>
      </c>
      <c r="D33" s="202"/>
      <c r="E33" s="227"/>
      <c r="F33" s="72"/>
    </row>
    <row r="34" spans="2:6" customFormat="1">
      <c r="B34" s="181" t="s">
        <v>6</v>
      </c>
      <c r="C34" s="174" t="s">
        <v>26</v>
      </c>
      <c r="D34" s="202"/>
      <c r="E34" s="227"/>
      <c r="F34" s="72"/>
    </row>
    <row r="35" spans="2:6" customFormat="1">
      <c r="B35" s="181" t="s">
        <v>8</v>
      </c>
      <c r="C35" s="174" t="s">
        <v>27</v>
      </c>
      <c r="D35" s="202"/>
      <c r="E35" s="227">
        <v>7.67</v>
      </c>
      <c r="F35" s="72"/>
    </row>
    <row r="36" spans="2:6" customFormat="1">
      <c r="B36" s="181" t="s">
        <v>9</v>
      </c>
      <c r="C36" s="174" t="s">
        <v>28</v>
      </c>
      <c r="D36" s="202"/>
      <c r="E36" s="227"/>
      <c r="F36" s="72"/>
    </row>
    <row r="37" spans="2:6" customFormat="1" ht="25.5">
      <c r="B37" s="181" t="s">
        <v>29</v>
      </c>
      <c r="C37" s="174" t="s">
        <v>30</v>
      </c>
      <c r="D37" s="202"/>
      <c r="E37" s="227"/>
      <c r="F37" s="72"/>
    </row>
    <row r="38" spans="2:6" customFormat="1">
      <c r="B38" s="181" t="s">
        <v>31</v>
      </c>
      <c r="C38" s="174" t="s">
        <v>32</v>
      </c>
      <c r="D38" s="202"/>
      <c r="E38" s="227"/>
      <c r="F38" s="72"/>
    </row>
    <row r="39" spans="2:6" customFormat="1">
      <c r="B39" s="182" t="s">
        <v>33</v>
      </c>
      <c r="C39" s="183" t="s">
        <v>34</v>
      </c>
      <c r="D39" s="203"/>
      <c r="E39" s="228">
        <v>31190.74</v>
      </c>
      <c r="F39" s="72"/>
    </row>
    <row r="40" spans="2:6" customFormat="1" ht="13.5" thickBot="1">
      <c r="B40" s="98" t="s">
        <v>35</v>
      </c>
      <c r="C40" s="99" t="s">
        <v>36</v>
      </c>
      <c r="D40" s="204">
        <v>436.61</v>
      </c>
      <c r="E40" s="233">
        <v>909.2</v>
      </c>
    </row>
    <row r="41" spans="2:6" customFormat="1" ht="13.5" thickBot="1">
      <c r="B41" s="100" t="s">
        <v>37</v>
      </c>
      <c r="C41" s="101" t="s">
        <v>38</v>
      </c>
      <c r="D41" s="205">
        <v>30289.21</v>
      </c>
      <c r="E41" s="149">
        <f>E26+E27+E40</f>
        <v>0</v>
      </c>
      <c r="F41" s="78"/>
    </row>
    <row r="42" spans="2:6" customFormat="1">
      <c r="B42" s="94"/>
      <c r="C42" s="94"/>
      <c r="D42" s="95"/>
      <c r="E42" s="95"/>
      <c r="F42" s="78"/>
    </row>
    <row r="43" spans="2:6" customFormat="1" ht="13.5">
      <c r="B43" s="359" t="s">
        <v>60</v>
      </c>
      <c r="C43" s="371"/>
      <c r="D43" s="371"/>
      <c r="E43" s="371"/>
    </row>
    <row r="44" spans="2:6" customFormat="1" ht="18" customHeight="1" thickBot="1">
      <c r="B44" s="357" t="s">
        <v>204</v>
      </c>
      <c r="C44" s="370"/>
      <c r="D44" s="370"/>
      <c r="E44" s="370"/>
    </row>
    <row r="45" spans="2:6" customFormat="1" ht="13.5" thickBot="1">
      <c r="B45" s="215"/>
      <c r="C45" s="30" t="s">
        <v>39</v>
      </c>
      <c r="D45" s="71" t="s">
        <v>223</v>
      </c>
      <c r="E45" s="29" t="s">
        <v>267</v>
      </c>
    </row>
    <row r="46" spans="2:6" customFormat="1">
      <c r="B46" s="13" t="s">
        <v>18</v>
      </c>
      <c r="C46" s="31" t="s">
        <v>188</v>
      </c>
      <c r="D46" s="102"/>
      <c r="E46" s="28"/>
    </row>
    <row r="47" spans="2:6" customFormat="1">
      <c r="B47" s="184" t="s">
        <v>4</v>
      </c>
      <c r="C47" s="185" t="s">
        <v>40</v>
      </c>
      <c r="D47" s="206"/>
      <c r="E47" s="150">
        <v>239.8955</v>
      </c>
    </row>
    <row r="48" spans="2:6" customFormat="1">
      <c r="B48" s="186" t="s">
        <v>6</v>
      </c>
      <c r="C48" s="187" t="s">
        <v>41</v>
      </c>
      <c r="D48" s="207">
        <v>239.8955</v>
      </c>
      <c r="E48" s="150"/>
    </row>
    <row r="49" spans="2:5" customFormat="1">
      <c r="B49" s="121" t="s">
        <v>23</v>
      </c>
      <c r="C49" s="125" t="s">
        <v>189</v>
      </c>
      <c r="D49" s="208"/>
      <c r="E49" s="150"/>
    </row>
    <row r="50" spans="2:5" customFormat="1">
      <c r="B50" s="184" t="s">
        <v>4</v>
      </c>
      <c r="C50" s="185" t="s">
        <v>40</v>
      </c>
      <c r="D50" s="206"/>
      <c r="E50" s="150">
        <v>126.26</v>
      </c>
    </row>
    <row r="51" spans="2:5" customFormat="1">
      <c r="B51" s="184" t="s">
        <v>6</v>
      </c>
      <c r="C51" s="185" t="s">
        <v>190</v>
      </c>
      <c r="D51" s="209">
        <v>106.17</v>
      </c>
      <c r="E51" s="76">
        <v>122.14</v>
      </c>
    </row>
    <row r="52" spans="2:5" customFormat="1">
      <c r="B52" s="184" t="s">
        <v>8</v>
      </c>
      <c r="C52" s="185" t="s">
        <v>191</v>
      </c>
      <c r="D52" s="209">
        <v>128.4</v>
      </c>
      <c r="E52" s="76">
        <v>134.94</v>
      </c>
    </row>
    <row r="53" spans="2:5" customFormat="1" ht="13.5" thickBot="1">
      <c r="B53" s="188" t="s">
        <v>9</v>
      </c>
      <c r="C53" s="189" t="s">
        <v>41</v>
      </c>
      <c r="D53" s="210">
        <v>126.26</v>
      </c>
      <c r="E53" s="234"/>
    </row>
    <row r="54" spans="2:5" customFormat="1">
      <c r="B54" s="110"/>
      <c r="C54" s="111"/>
      <c r="D54" s="112"/>
      <c r="E54" s="112"/>
    </row>
    <row r="55" spans="2:5" customFormat="1" ht="13.5">
      <c r="B55" s="359" t="s">
        <v>62</v>
      </c>
      <c r="C55" s="360"/>
      <c r="D55" s="360"/>
      <c r="E55" s="360"/>
    </row>
    <row r="56" spans="2:5" customFormat="1" ht="14.25" thickBot="1">
      <c r="B56" s="357" t="s">
        <v>192</v>
      </c>
      <c r="C56" s="361"/>
      <c r="D56" s="361"/>
      <c r="E56" s="361"/>
    </row>
    <row r="57" spans="2:5" customFormat="1" ht="23.25" thickBot="1">
      <c r="B57" s="352" t="s">
        <v>42</v>
      </c>
      <c r="C57" s="353"/>
      <c r="D57" s="18" t="s">
        <v>205</v>
      </c>
      <c r="E57" s="19" t="s">
        <v>193</v>
      </c>
    </row>
    <row r="58" spans="2:5" customFormat="1">
      <c r="B58" s="20" t="s">
        <v>18</v>
      </c>
      <c r="C58" s="127" t="s">
        <v>43</v>
      </c>
      <c r="D58" s="128">
        <v>0</v>
      </c>
      <c r="E58" s="32">
        <v>0</v>
      </c>
    </row>
    <row r="59" spans="2:5" customFormat="1" ht="25.5">
      <c r="B59" s="124" t="s">
        <v>4</v>
      </c>
      <c r="C59" s="22" t="s">
        <v>44</v>
      </c>
      <c r="D59" s="81">
        <v>0</v>
      </c>
      <c r="E59" s="82">
        <v>0</v>
      </c>
    </row>
    <row r="60" spans="2:5" customFormat="1" ht="25.5">
      <c r="B60" s="103" t="s">
        <v>6</v>
      </c>
      <c r="C60" s="15" t="s">
        <v>45</v>
      </c>
      <c r="D60" s="79">
        <v>0</v>
      </c>
      <c r="E60" s="80">
        <v>0</v>
      </c>
    </row>
    <row r="61" spans="2:5" customFormat="1">
      <c r="B61" s="103" t="s">
        <v>8</v>
      </c>
      <c r="C61" s="15" t="s">
        <v>46</v>
      </c>
      <c r="D61" s="79">
        <v>0</v>
      </c>
      <c r="E61" s="80">
        <v>0</v>
      </c>
    </row>
    <row r="62" spans="2:5" customFormat="1">
      <c r="B62" s="103" t="s">
        <v>9</v>
      </c>
      <c r="C62" s="15" t="s">
        <v>47</v>
      </c>
      <c r="D62" s="79">
        <v>0</v>
      </c>
      <c r="E62" s="80">
        <v>0</v>
      </c>
    </row>
    <row r="63" spans="2:5" customFormat="1">
      <c r="B63" s="103" t="s">
        <v>29</v>
      </c>
      <c r="C63" s="15" t="s">
        <v>48</v>
      </c>
      <c r="D63" s="79">
        <v>0</v>
      </c>
      <c r="E63" s="80">
        <v>0</v>
      </c>
    </row>
    <row r="64" spans="2:5" customFormat="1">
      <c r="B64" s="124" t="s">
        <v>31</v>
      </c>
      <c r="C64" s="22" t="s">
        <v>49</v>
      </c>
      <c r="D64" s="81">
        <v>0</v>
      </c>
      <c r="E64" s="82">
        <f>E58</f>
        <v>0</v>
      </c>
    </row>
    <row r="65" spans="2:5" customFormat="1">
      <c r="B65" s="124" t="s">
        <v>33</v>
      </c>
      <c r="C65" s="22" t="s">
        <v>194</v>
      </c>
      <c r="D65" s="81">
        <v>0</v>
      </c>
      <c r="E65" s="82">
        <v>0</v>
      </c>
    </row>
    <row r="66" spans="2:5" customFormat="1">
      <c r="B66" s="124" t="s">
        <v>50</v>
      </c>
      <c r="C66" s="22" t="s">
        <v>51</v>
      </c>
      <c r="D66" s="81">
        <v>0</v>
      </c>
      <c r="E66" s="82">
        <v>0</v>
      </c>
    </row>
    <row r="67" spans="2:5" customFormat="1">
      <c r="B67" s="103" t="s">
        <v>52</v>
      </c>
      <c r="C67" s="15" t="s">
        <v>53</v>
      </c>
      <c r="D67" s="79">
        <v>0</v>
      </c>
      <c r="E67" s="80">
        <v>0</v>
      </c>
    </row>
    <row r="68" spans="2:5" customFormat="1">
      <c r="B68" s="103" t="s">
        <v>54</v>
      </c>
      <c r="C68" s="15" t="s">
        <v>55</v>
      </c>
      <c r="D68" s="79">
        <v>0</v>
      </c>
      <c r="E68" s="80">
        <v>0</v>
      </c>
    </row>
    <row r="69" spans="2:5" customFormat="1">
      <c r="B69" s="103" t="s">
        <v>56</v>
      </c>
      <c r="C69" s="15" t="s">
        <v>57</v>
      </c>
      <c r="D69" s="311">
        <v>0</v>
      </c>
      <c r="E69" s="80">
        <v>0</v>
      </c>
    </row>
    <row r="70" spans="2:5" customFormat="1">
      <c r="B70" s="130" t="s">
        <v>58</v>
      </c>
      <c r="C70" s="114" t="s">
        <v>59</v>
      </c>
      <c r="D70" s="115">
        <v>0</v>
      </c>
      <c r="E70" s="116">
        <v>0</v>
      </c>
    </row>
    <row r="71" spans="2:5" customFormat="1">
      <c r="B71" s="131" t="s">
        <v>23</v>
      </c>
      <c r="C71" s="122" t="s">
        <v>61</v>
      </c>
      <c r="D71" s="123">
        <v>0</v>
      </c>
      <c r="E71" s="67">
        <v>0</v>
      </c>
    </row>
    <row r="72" spans="2:5" customFormat="1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customFormat="1">
      <c r="B73" s="133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1" t="s">
        <v>64</v>
      </c>
      <c r="C74" s="122" t="s">
        <v>66</v>
      </c>
      <c r="D74" s="123">
        <v>0</v>
      </c>
      <c r="E74" s="67">
        <f>E58+E72-E73</f>
        <v>0</v>
      </c>
    </row>
    <row r="75" spans="2:5" customFormat="1">
      <c r="B75" s="103" t="s">
        <v>4</v>
      </c>
      <c r="C75" s="15" t="s">
        <v>67</v>
      </c>
      <c r="D75" s="79">
        <v>0</v>
      </c>
      <c r="E75" s="80">
        <f>E74</f>
        <v>0</v>
      </c>
    </row>
    <row r="76" spans="2:5" customFormat="1">
      <c r="B76" s="103" t="s">
        <v>6</v>
      </c>
      <c r="C76" s="15" t="s">
        <v>195</v>
      </c>
      <c r="D76" s="79">
        <v>0</v>
      </c>
      <c r="E76" s="80">
        <v>0</v>
      </c>
    </row>
    <row r="77" spans="2:5" customFormat="1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14.25">
      <c r="B5" s="355" t="s">
        <v>1</v>
      </c>
      <c r="C5" s="355"/>
      <c r="D5" s="355"/>
      <c r="E5" s="355"/>
    </row>
    <row r="6" spans="2:5" ht="14.25">
      <c r="B6" s="356" t="s">
        <v>203</v>
      </c>
      <c r="C6" s="356"/>
      <c r="D6" s="356"/>
      <c r="E6" s="356"/>
    </row>
    <row r="7" spans="2:5" ht="14.25">
      <c r="B7" s="154"/>
      <c r="C7" s="154"/>
      <c r="D7" s="154"/>
      <c r="E7" s="15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55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3796.47</v>
      </c>
      <c r="E11" s="258" t="str">
        <f>E12</f>
        <v>-</v>
      </c>
    </row>
    <row r="12" spans="2:5">
      <c r="B12" s="173" t="s">
        <v>4</v>
      </c>
      <c r="C12" s="174" t="s">
        <v>5</v>
      </c>
      <c r="D12" s="261">
        <v>3796.47</v>
      </c>
      <c r="E12" s="262" t="s">
        <v>206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3796.47</v>
      </c>
      <c r="E21" s="149" t="str">
        <f>E11</f>
        <v>-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3492.57</v>
      </c>
      <c r="E26" s="232">
        <f>D21</f>
        <v>3796.47</v>
      </c>
    </row>
    <row r="27" spans="2:6">
      <c r="B27" s="9" t="s">
        <v>17</v>
      </c>
      <c r="C27" s="10" t="s">
        <v>187</v>
      </c>
      <c r="D27" s="201">
        <v>0</v>
      </c>
      <c r="E27" s="225">
        <f>E28-E32</f>
        <v>-3558.42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0</v>
      </c>
      <c r="E32" s="226">
        <f>E33+E35+E37+E39</f>
        <v>3558.42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>
        <v>38.92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>
        <v>37.83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3481.67</v>
      </c>
      <c r="F39" s="72"/>
    </row>
    <row r="40" spans="2:6" ht="13.5" thickBot="1">
      <c r="B40" s="98" t="s">
        <v>35</v>
      </c>
      <c r="C40" s="99" t="s">
        <v>36</v>
      </c>
      <c r="D40" s="204">
        <v>303.89999999999998</v>
      </c>
      <c r="E40" s="233">
        <v>-238.05</v>
      </c>
    </row>
    <row r="41" spans="2:6" ht="13.5" thickBot="1">
      <c r="B41" s="100" t="s">
        <v>37</v>
      </c>
      <c r="C41" s="101" t="s">
        <v>38</v>
      </c>
      <c r="D41" s="205">
        <v>3796.4700000000003</v>
      </c>
      <c r="E41" s="149" t="s">
        <v>206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29.533000000000001</v>
      </c>
      <c r="E47" s="150">
        <v>29.533000000000001</v>
      </c>
    </row>
    <row r="48" spans="2:6">
      <c r="B48" s="186" t="s">
        <v>6</v>
      </c>
      <c r="C48" s="187" t="s">
        <v>41</v>
      </c>
      <c r="D48" s="207">
        <v>29.533000000000001</v>
      </c>
      <c r="E48" s="150"/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118.26</v>
      </c>
      <c r="E50" s="150">
        <v>128.55000000000001</v>
      </c>
    </row>
    <row r="51" spans="2:5">
      <c r="B51" s="184" t="s">
        <v>6</v>
      </c>
      <c r="C51" s="185" t="s">
        <v>190</v>
      </c>
      <c r="D51" s="209">
        <v>118.26</v>
      </c>
      <c r="E51" s="76">
        <v>116.72</v>
      </c>
    </row>
    <row r="52" spans="2:5">
      <c r="B52" s="184" t="s">
        <v>8</v>
      </c>
      <c r="C52" s="185" t="s">
        <v>191</v>
      </c>
      <c r="D52" s="209">
        <v>135.68</v>
      </c>
      <c r="E52" s="76">
        <v>134.51</v>
      </c>
    </row>
    <row r="53" spans="2:5" ht="13.5" thickBot="1">
      <c r="B53" s="188" t="s">
        <v>9</v>
      </c>
      <c r="C53" s="189" t="s">
        <v>41</v>
      </c>
      <c r="D53" s="210">
        <v>128.55000000000001</v>
      </c>
      <c r="E53" s="234"/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v>0</v>
      </c>
      <c r="E58" s="32">
        <v>0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v>0</v>
      </c>
      <c r="E64" s="82">
        <f>E58</f>
        <v>0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0</v>
      </c>
      <c r="E74" s="67">
        <f>E58+E72-E73</f>
        <v>0</v>
      </c>
    </row>
    <row r="75" spans="2:5">
      <c r="B75" s="103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156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3374933.59</v>
      </c>
      <c r="E11" s="258">
        <f>E12</f>
        <v>1441232.24</v>
      </c>
    </row>
    <row r="12" spans="2:5">
      <c r="B12" s="173" t="s">
        <v>4</v>
      </c>
      <c r="C12" s="174" t="s">
        <v>5</v>
      </c>
      <c r="D12" s="261">
        <v>3374933.59</v>
      </c>
      <c r="E12" s="262">
        <v>1441232.24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3374933.59</v>
      </c>
      <c r="E21" s="149">
        <f>E11</f>
        <v>1441232.24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2133646.2599999998</v>
      </c>
      <c r="E26" s="232">
        <f>D21</f>
        <v>3374933.59</v>
      </c>
    </row>
    <row r="27" spans="2:6">
      <c r="B27" s="9" t="s">
        <v>17</v>
      </c>
      <c r="C27" s="10" t="s">
        <v>187</v>
      </c>
      <c r="D27" s="201">
        <v>772760.67999999993</v>
      </c>
      <c r="E27" s="225">
        <f>E28-E32</f>
        <v>-1667769.2600000002</v>
      </c>
      <c r="F27" s="72"/>
    </row>
    <row r="28" spans="2:6">
      <c r="B28" s="9" t="s">
        <v>18</v>
      </c>
      <c r="C28" s="10" t="s">
        <v>19</v>
      </c>
      <c r="D28" s="201">
        <v>867159.05999999994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>
        <v>50115.199999999997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817043.86</v>
      </c>
      <c r="E31" s="227"/>
      <c r="F31" s="72"/>
    </row>
    <row r="32" spans="2:6">
      <c r="B32" s="93" t="s">
        <v>23</v>
      </c>
      <c r="C32" s="11" t="s">
        <v>24</v>
      </c>
      <c r="D32" s="201">
        <v>94398.38</v>
      </c>
      <c r="E32" s="226">
        <f>E33+E35+E37+E39</f>
        <v>1667769.2600000002</v>
      </c>
      <c r="F32" s="72"/>
    </row>
    <row r="33" spans="2:6">
      <c r="B33" s="181" t="s">
        <v>4</v>
      </c>
      <c r="C33" s="174" t="s">
        <v>25</v>
      </c>
      <c r="D33" s="202">
        <v>50636.49</v>
      </c>
      <c r="E33" s="227">
        <v>439942.49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2602.12</v>
      </c>
      <c r="E35" s="227">
        <v>1435.9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41159.769999999997</v>
      </c>
      <c r="E37" s="227">
        <v>46900.51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1179490.3600000001</v>
      </c>
      <c r="F39" s="72"/>
    </row>
    <row r="40" spans="2:6" ht="13.5" thickBot="1">
      <c r="B40" s="98" t="s">
        <v>35</v>
      </c>
      <c r="C40" s="99" t="s">
        <v>36</v>
      </c>
      <c r="D40" s="204">
        <v>468526.65</v>
      </c>
      <c r="E40" s="233">
        <v>-265932.09000000003</v>
      </c>
    </row>
    <row r="41" spans="2:6" ht="13.5" thickBot="1">
      <c r="B41" s="100" t="s">
        <v>37</v>
      </c>
      <c r="C41" s="101" t="s">
        <v>38</v>
      </c>
      <c r="D41" s="205">
        <v>3374933.5899999994</v>
      </c>
      <c r="E41" s="149">
        <f>E26+E27+E40</f>
        <v>1441232.2399999995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5206.4279999999999</v>
      </c>
      <c r="E47" s="150">
        <v>6830.0519999999997</v>
      </c>
    </row>
    <row r="48" spans="2:6">
      <c r="B48" s="186" t="s">
        <v>6</v>
      </c>
      <c r="C48" s="187" t="s">
        <v>41</v>
      </c>
      <c r="D48" s="207">
        <v>6830.0519999999997</v>
      </c>
      <c r="E48" s="150">
        <v>3174.87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409.81</v>
      </c>
      <c r="E50" s="150">
        <v>494.13</v>
      </c>
    </row>
    <row r="51" spans="2:5">
      <c r="B51" s="184" t="s">
        <v>6</v>
      </c>
      <c r="C51" s="185" t="s">
        <v>190</v>
      </c>
      <c r="D51" s="209">
        <v>409.81</v>
      </c>
      <c r="E51" s="76">
        <v>445.02</v>
      </c>
    </row>
    <row r="52" spans="2:5">
      <c r="B52" s="184" t="s">
        <v>8</v>
      </c>
      <c r="C52" s="185" t="s">
        <v>191</v>
      </c>
      <c r="D52" s="209">
        <v>513.6</v>
      </c>
      <c r="E52" s="76">
        <v>518.08000000000004</v>
      </c>
    </row>
    <row r="53" spans="2:5" ht="12.75" customHeight="1" thickBot="1">
      <c r="B53" s="188" t="s">
        <v>9</v>
      </c>
      <c r="C53" s="189" t="s">
        <v>41</v>
      </c>
      <c r="D53" s="210">
        <v>494.13</v>
      </c>
      <c r="E53" s="234">
        <v>453.95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1441232.24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1441232.24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1441232.24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1441232.24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157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13141202.960000001</v>
      </c>
      <c r="E11" s="258">
        <f>E12</f>
        <v>11548216.810000001</v>
      </c>
    </row>
    <row r="12" spans="2:5">
      <c r="B12" s="173" t="s">
        <v>4</v>
      </c>
      <c r="C12" s="174" t="s">
        <v>5</v>
      </c>
      <c r="D12" s="261">
        <v>13141202.960000001</v>
      </c>
      <c r="E12" s="262">
        <v>11548216.810000001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13141202.960000001</v>
      </c>
      <c r="E21" s="149">
        <f>E11</f>
        <v>11548216.810000001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14810064.869999999</v>
      </c>
      <c r="E26" s="232">
        <f>D21</f>
        <v>13141202.960000001</v>
      </c>
    </row>
    <row r="27" spans="2:6">
      <c r="B27" s="9" t="s">
        <v>17</v>
      </c>
      <c r="C27" s="10" t="s">
        <v>187</v>
      </c>
      <c r="D27" s="201">
        <v>-3923742.59</v>
      </c>
      <c r="E27" s="225">
        <f>E28-E32</f>
        <v>-1900990.6999999997</v>
      </c>
      <c r="F27" s="72"/>
    </row>
    <row r="28" spans="2:6">
      <c r="B28" s="9" t="s">
        <v>18</v>
      </c>
      <c r="C28" s="10" t="s">
        <v>19</v>
      </c>
      <c r="D28" s="201">
        <v>249885.08</v>
      </c>
      <c r="E28" s="226">
        <f>E29+E30+E31</f>
        <v>122548.08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249885.08</v>
      </c>
      <c r="E31" s="227">
        <v>122548.08</v>
      </c>
      <c r="F31" s="72"/>
    </row>
    <row r="32" spans="2:6">
      <c r="B32" s="93" t="s">
        <v>23</v>
      </c>
      <c r="C32" s="11" t="s">
        <v>24</v>
      </c>
      <c r="D32" s="201">
        <v>4173627.67</v>
      </c>
      <c r="E32" s="226">
        <f>E33+E35+E37+E39</f>
        <v>2023538.7799999998</v>
      </c>
      <c r="F32" s="72"/>
    </row>
    <row r="33" spans="2:6">
      <c r="B33" s="181" t="s">
        <v>4</v>
      </c>
      <c r="C33" s="174" t="s">
        <v>25</v>
      </c>
      <c r="D33" s="202">
        <v>1292324.72</v>
      </c>
      <c r="E33" s="227">
        <v>650725.07999999996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11980.28</v>
      </c>
      <c r="E35" s="227">
        <v>7724.36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230620.01</v>
      </c>
      <c r="E37" s="227">
        <v>200293.69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2638702.66</v>
      </c>
      <c r="E39" s="228">
        <v>1164795.6499999999</v>
      </c>
      <c r="F39" s="72"/>
    </row>
    <row r="40" spans="2:6" ht="13.5" thickBot="1">
      <c r="B40" s="98" t="s">
        <v>35</v>
      </c>
      <c r="C40" s="99" t="s">
        <v>36</v>
      </c>
      <c r="D40" s="204">
        <v>2254880.6800000002</v>
      </c>
      <c r="E40" s="233">
        <v>308004.55</v>
      </c>
    </row>
    <row r="41" spans="2:6" ht="13.5" thickBot="1">
      <c r="B41" s="100" t="s">
        <v>37</v>
      </c>
      <c r="C41" s="101" t="s">
        <v>38</v>
      </c>
      <c r="D41" s="205">
        <v>13141202.959999999</v>
      </c>
      <c r="E41" s="149">
        <f>E26+E27+E40</f>
        <v>11548216.810000002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46656.160000000003</v>
      </c>
      <c r="E47" s="150">
        <v>35443.004999999997</v>
      </c>
    </row>
    <row r="48" spans="2:6">
      <c r="B48" s="186" t="s">
        <v>6</v>
      </c>
      <c r="C48" s="187" t="s">
        <v>41</v>
      </c>
      <c r="D48" s="207">
        <v>35443.004999999997</v>
      </c>
      <c r="E48" s="150">
        <v>30429.281999999999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317.43</v>
      </c>
      <c r="E50" s="150">
        <v>370.77</v>
      </c>
    </row>
    <row r="51" spans="2:5">
      <c r="B51" s="184" t="s">
        <v>6</v>
      </c>
      <c r="C51" s="185" t="s">
        <v>190</v>
      </c>
      <c r="D51" s="209">
        <v>317.37</v>
      </c>
      <c r="E51" s="76">
        <v>353.19</v>
      </c>
    </row>
    <row r="52" spans="2:5">
      <c r="B52" s="184" t="s">
        <v>8</v>
      </c>
      <c r="C52" s="185" t="s">
        <v>191</v>
      </c>
      <c r="D52" s="209">
        <v>379.01</v>
      </c>
      <c r="E52" s="76">
        <v>435.12</v>
      </c>
    </row>
    <row r="53" spans="2:5" ht="14.25" customHeight="1" thickBot="1">
      <c r="B53" s="188" t="s">
        <v>9</v>
      </c>
      <c r="C53" s="189" t="s">
        <v>41</v>
      </c>
      <c r="D53" s="210">
        <v>370.77</v>
      </c>
      <c r="E53" s="234">
        <v>379.51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11548216.810000001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11548216.810000001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11548216.810000001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11548216.810000001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165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4299565.83</v>
      </c>
      <c r="E11" s="258">
        <f>E12</f>
        <v>2683224.23</v>
      </c>
    </row>
    <row r="12" spans="2:5">
      <c r="B12" s="173" t="s">
        <v>4</v>
      </c>
      <c r="C12" s="174" t="s">
        <v>5</v>
      </c>
      <c r="D12" s="261">
        <v>4299565.83</v>
      </c>
      <c r="E12" s="262">
        <v>2683224.23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4299565.83</v>
      </c>
      <c r="E21" s="149">
        <f>E11</f>
        <v>2683224.23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3624941.58</v>
      </c>
      <c r="E26" s="232">
        <f>D21</f>
        <v>4299565.83</v>
      </c>
    </row>
    <row r="27" spans="2:6">
      <c r="B27" s="9" t="s">
        <v>17</v>
      </c>
      <c r="C27" s="10" t="s">
        <v>187</v>
      </c>
      <c r="D27" s="201">
        <v>586034.86</v>
      </c>
      <c r="E27" s="225">
        <f>E28-E32</f>
        <v>-1513663.81</v>
      </c>
      <c r="F27" s="72"/>
    </row>
    <row r="28" spans="2:6">
      <c r="B28" s="9" t="s">
        <v>18</v>
      </c>
      <c r="C28" s="10" t="s">
        <v>19</v>
      </c>
      <c r="D28" s="201">
        <v>648666.09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>
        <v>49979.96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598686.13</v>
      </c>
      <c r="E31" s="227"/>
      <c r="F31" s="72"/>
    </row>
    <row r="32" spans="2:6">
      <c r="B32" s="93" t="s">
        <v>23</v>
      </c>
      <c r="C32" s="11" t="s">
        <v>24</v>
      </c>
      <c r="D32" s="201">
        <v>62631.229999999996</v>
      </c>
      <c r="E32" s="226">
        <f>E33+E35+E37+E39</f>
        <v>1513663.81</v>
      </c>
      <c r="F32" s="72"/>
    </row>
    <row r="33" spans="2:6">
      <c r="B33" s="181" t="s">
        <v>4</v>
      </c>
      <c r="C33" s="174" t="s">
        <v>25</v>
      </c>
      <c r="D33" s="202"/>
      <c r="E33" s="227">
        <v>573659.92000000004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273.38</v>
      </c>
      <c r="E35" s="227">
        <v>1088.53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62357.85</v>
      </c>
      <c r="E37" s="227">
        <v>56245.21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882670.15</v>
      </c>
      <c r="F39" s="72"/>
    </row>
    <row r="40" spans="2:6" ht="13.5" thickBot="1">
      <c r="B40" s="98" t="s">
        <v>35</v>
      </c>
      <c r="C40" s="99" t="s">
        <v>36</v>
      </c>
      <c r="D40" s="204">
        <v>88589.39</v>
      </c>
      <c r="E40" s="233">
        <v>-102677.79</v>
      </c>
    </row>
    <row r="41" spans="2:6" ht="13.5" thickBot="1">
      <c r="B41" s="100" t="s">
        <v>37</v>
      </c>
      <c r="C41" s="101" t="s">
        <v>38</v>
      </c>
      <c r="D41" s="205">
        <v>4299565.83</v>
      </c>
      <c r="E41" s="149">
        <f>E26+E27+E40</f>
        <v>2683224.23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8778.1610000000001</v>
      </c>
      <c r="E47" s="150">
        <v>10169.987999999999</v>
      </c>
    </row>
    <row r="48" spans="2:6">
      <c r="B48" s="186" t="s">
        <v>6</v>
      </c>
      <c r="C48" s="187" t="s">
        <v>41</v>
      </c>
      <c r="D48" s="207">
        <v>10169.987999999999</v>
      </c>
      <c r="E48" s="150">
        <v>6582.0150000000003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412.95</v>
      </c>
      <c r="E50" s="150">
        <v>422.77</v>
      </c>
    </row>
    <row r="51" spans="2:5">
      <c r="B51" s="184" t="s">
        <v>6</v>
      </c>
      <c r="C51" s="185" t="s">
        <v>190</v>
      </c>
      <c r="D51" s="209">
        <v>412.95</v>
      </c>
      <c r="E51" s="76">
        <v>407.64</v>
      </c>
    </row>
    <row r="52" spans="2:5">
      <c r="B52" s="184" t="s">
        <v>8</v>
      </c>
      <c r="C52" s="185" t="s">
        <v>191</v>
      </c>
      <c r="D52" s="209">
        <v>423.21</v>
      </c>
      <c r="E52" s="76">
        <v>425.98</v>
      </c>
    </row>
    <row r="53" spans="2:5" ht="13.5" customHeight="1" thickBot="1">
      <c r="B53" s="188" t="s">
        <v>9</v>
      </c>
      <c r="C53" s="189" t="s">
        <v>41</v>
      </c>
      <c r="D53" s="210">
        <v>422.77</v>
      </c>
      <c r="E53" s="234">
        <v>407.66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2683224.23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2683224.23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2683224.23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2683224.23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225</v>
      </c>
      <c r="C6" s="356"/>
      <c r="D6" s="356"/>
      <c r="E6" s="356"/>
    </row>
    <row r="7" spans="2:5" ht="14.25">
      <c r="B7" s="214"/>
      <c r="C7" s="214"/>
      <c r="D7" s="214"/>
      <c r="E7" s="21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213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18128.2</v>
      </c>
      <c r="E11" s="258">
        <f>E12</f>
        <v>51187.75</v>
      </c>
    </row>
    <row r="12" spans="2:5">
      <c r="B12" s="173" t="s">
        <v>4</v>
      </c>
      <c r="C12" s="174" t="s">
        <v>5</v>
      </c>
      <c r="D12" s="261">
        <v>18128.2</v>
      </c>
      <c r="E12" s="262">
        <v>51187.75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18128.2</v>
      </c>
      <c r="E21" s="149">
        <f>E11</f>
        <v>51187.75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 t="s">
        <v>206</v>
      </c>
      <c r="E26" s="232">
        <f>D21</f>
        <v>18128.2</v>
      </c>
    </row>
    <row r="27" spans="2:6">
      <c r="B27" s="9" t="s">
        <v>17</v>
      </c>
      <c r="C27" s="10" t="s">
        <v>187</v>
      </c>
      <c r="D27" s="201">
        <v>18374.400000000001</v>
      </c>
      <c r="E27" s="225">
        <f>E28-E32</f>
        <v>34699.780000000006</v>
      </c>
      <c r="F27" s="72"/>
    </row>
    <row r="28" spans="2:6">
      <c r="B28" s="9" t="s">
        <v>18</v>
      </c>
      <c r="C28" s="10" t="s">
        <v>19</v>
      </c>
      <c r="D28" s="201">
        <v>18374.400000000001</v>
      </c>
      <c r="E28" s="226">
        <f>E29+E30+E31</f>
        <v>35229.550000000003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18374.400000000001</v>
      </c>
      <c r="E31" s="227">
        <v>35229.550000000003</v>
      </c>
      <c r="F31" s="72"/>
    </row>
    <row r="32" spans="2:6">
      <c r="B32" s="93" t="s">
        <v>23</v>
      </c>
      <c r="C32" s="11" t="s">
        <v>24</v>
      </c>
      <c r="D32" s="201">
        <v>0</v>
      </c>
      <c r="E32" s="226">
        <f>E33+E35+E37+E39</f>
        <v>529.77</v>
      </c>
      <c r="F32" s="72"/>
    </row>
    <row r="33" spans="2:6">
      <c r="B33" s="181" t="s">
        <v>4</v>
      </c>
      <c r="C33" s="174" t="s">
        <v>25</v>
      </c>
      <c r="D33" s="202"/>
      <c r="E33" s="227"/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>
        <v>143.38999999999999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>
        <v>386.38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-246.2</v>
      </c>
      <c r="E40" s="233">
        <v>-1640.23</v>
      </c>
    </row>
    <row r="41" spans="2:6" ht="13.5" thickBot="1">
      <c r="B41" s="100" t="s">
        <v>37</v>
      </c>
      <c r="C41" s="101" t="s">
        <v>38</v>
      </c>
      <c r="D41" s="205">
        <v>18128.2</v>
      </c>
      <c r="E41" s="149">
        <f>E26+E27+E40</f>
        <v>51187.750000000007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/>
      <c r="E47" s="150">
        <v>16.233000000000001</v>
      </c>
    </row>
    <row r="48" spans="2:6">
      <c r="B48" s="186" t="s">
        <v>6</v>
      </c>
      <c r="C48" s="187" t="s">
        <v>41</v>
      </c>
      <c r="D48" s="207">
        <v>16.233000000000001</v>
      </c>
      <c r="E48" s="150">
        <v>46.682000000000002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/>
      <c r="E50" s="150">
        <v>1116.75</v>
      </c>
    </row>
    <row r="51" spans="2:5">
      <c r="B51" s="184" t="s">
        <v>6</v>
      </c>
      <c r="C51" s="185" t="s">
        <v>190</v>
      </c>
      <c r="D51" s="209">
        <v>930.35</v>
      </c>
      <c r="E51" s="74">
        <v>1074.8599999999999</v>
      </c>
    </row>
    <row r="52" spans="2:5">
      <c r="B52" s="184" t="s">
        <v>8</v>
      </c>
      <c r="C52" s="185" t="s">
        <v>191</v>
      </c>
      <c r="D52" s="209">
        <v>1157.25</v>
      </c>
      <c r="E52" s="74">
        <v>1183.78</v>
      </c>
    </row>
    <row r="53" spans="2:5" ht="13.5" customHeight="1" thickBot="1">
      <c r="B53" s="188" t="s">
        <v>9</v>
      </c>
      <c r="C53" s="189" t="s">
        <v>41</v>
      </c>
      <c r="D53" s="210">
        <v>1116.75</v>
      </c>
      <c r="E53" s="301">
        <v>1096.52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51187.75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51187.75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51187.75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51187.75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218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430340.52</v>
      </c>
      <c r="E11" s="258">
        <f>E12</f>
        <v>231251.02</v>
      </c>
    </row>
    <row r="12" spans="2:5">
      <c r="B12" s="173" t="s">
        <v>4</v>
      </c>
      <c r="C12" s="174" t="s">
        <v>5</v>
      </c>
      <c r="D12" s="261">
        <v>430340.52</v>
      </c>
      <c r="E12" s="262">
        <f>231252.75-1.73</f>
        <v>231251.02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430340.52</v>
      </c>
      <c r="E21" s="149">
        <f>E11</f>
        <v>231251.02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371176.07</v>
      </c>
      <c r="E26" s="232">
        <f>D21</f>
        <v>430340.52</v>
      </c>
    </row>
    <row r="27" spans="2:6">
      <c r="B27" s="9" t="s">
        <v>17</v>
      </c>
      <c r="C27" s="10" t="s">
        <v>187</v>
      </c>
      <c r="D27" s="201">
        <v>-14425.529999999999</v>
      </c>
      <c r="E27" s="225">
        <f>E28-E32</f>
        <v>-150596.82</v>
      </c>
      <c r="F27" s="72"/>
    </row>
    <row r="28" spans="2:6">
      <c r="B28" s="9" t="s">
        <v>18</v>
      </c>
      <c r="C28" s="10" t="s">
        <v>19</v>
      </c>
      <c r="D28" s="201">
        <v>139223.91</v>
      </c>
      <c r="E28" s="226">
        <f>E29+E30+E31</f>
        <v>11906.519999999999</v>
      </c>
      <c r="F28" s="72"/>
    </row>
    <row r="29" spans="2:6">
      <c r="B29" s="181" t="s">
        <v>4</v>
      </c>
      <c r="C29" s="174" t="s">
        <v>20</v>
      </c>
      <c r="D29" s="202">
        <v>17710.79</v>
      </c>
      <c r="E29" s="227">
        <v>9285.2099999999991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121513.12</v>
      </c>
      <c r="E31" s="227">
        <v>2621.31</v>
      </c>
      <c r="F31" s="72"/>
    </row>
    <row r="32" spans="2:6">
      <c r="B32" s="93" t="s">
        <v>23</v>
      </c>
      <c r="C32" s="11" t="s">
        <v>24</v>
      </c>
      <c r="D32" s="201">
        <v>153649.44</v>
      </c>
      <c r="E32" s="226">
        <f>E33+E35+E37+E39</f>
        <v>162503.34</v>
      </c>
      <c r="F32" s="72"/>
    </row>
    <row r="33" spans="2:6">
      <c r="B33" s="181" t="s">
        <v>4</v>
      </c>
      <c r="C33" s="174" t="s">
        <v>25</v>
      </c>
      <c r="D33" s="202">
        <v>111183.65999999999</v>
      </c>
      <c r="E33" s="227">
        <f>102629.75-0.31</f>
        <v>102629.44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1115.49</v>
      </c>
      <c r="E35" s="227">
        <v>1016.33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7193.15</v>
      </c>
      <c r="E37" s="227">
        <v>5561.2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34157.14</v>
      </c>
      <c r="E39" s="228">
        <v>53296.37</v>
      </c>
      <c r="F39" s="72"/>
    </row>
    <row r="40" spans="2:6" ht="13.5" thickBot="1">
      <c r="B40" s="98" t="s">
        <v>35</v>
      </c>
      <c r="C40" s="99" t="s">
        <v>36</v>
      </c>
      <c r="D40" s="204">
        <v>73589.98</v>
      </c>
      <c r="E40" s="233">
        <v>-48492.68</v>
      </c>
    </row>
    <row r="41" spans="2:6" ht="13.5" thickBot="1">
      <c r="B41" s="100" t="s">
        <v>37</v>
      </c>
      <c r="C41" s="101" t="s">
        <v>38</v>
      </c>
      <c r="D41" s="205">
        <v>430340.52</v>
      </c>
      <c r="E41" s="149">
        <f>E26+E27+E40</f>
        <v>231251.02000000002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1079.942</v>
      </c>
      <c r="E47" s="150">
        <v>1055.37699</v>
      </c>
    </row>
    <row r="48" spans="2:6">
      <c r="B48" s="186" t="s">
        <v>6</v>
      </c>
      <c r="C48" s="187" t="s">
        <v>41</v>
      </c>
      <c r="D48" s="207">
        <v>1055.37699</v>
      </c>
      <c r="E48" s="150">
        <v>670.11800000000005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343.7</v>
      </c>
      <c r="E50" s="150">
        <v>407.76</v>
      </c>
    </row>
    <row r="51" spans="2:5">
      <c r="B51" s="184" t="s">
        <v>6</v>
      </c>
      <c r="C51" s="185" t="s">
        <v>190</v>
      </c>
      <c r="D51" s="209">
        <v>343.7</v>
      </c>
      <c r="E51" s="150">
        <v>341.58</v>
      </c>
    </row>
    <row r="52" spans="2:5">
      <c r="B52" s="184" t="s">
        <v>8</v>
      </c>
      <c r="C52" s="185" t="s">
        <v>191</v>
      </c>
      <c r="D52" s="209">
        <v>410.55</v>
      </c>
      <c r="E52" s="76">
        <v>427.16</v>
      </c>
    </row>
    <row r="53" spans="2:5" ht="13.5" customHeight="1" thickBot="1">
      <c r="B53" s="188" t="s">
        <v>9</v>
      </c>
      <c r="C53" s="189" t="s">
        <v>41</v>
      </c>
      <c r="D53" s="210">
        <v>407.76</v>
      </c>
      <c r="E53" s="234">
        <v>345.09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231251.02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231251.02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231251.02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231251.02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5"/>
      <c r="C4" s="135"/>
      <c r="D4" s="135"/>
      <c r="E4" s="135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219</v>
      </c>
      <c r="C6" s="356"/>
      <c r="D6" s="356"/>
      <c r="E6" s="356"/>
    </row>
    <row r="7" spans="2:5" ht="14.25">
      <c r="B7" s="134"/>
      <c r="C7" s="134"/>
      <c r="D7" s="134"/>
      <c r="E7" s="134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1745381.86</v>
      </c>
      <c r="E11" s="258">
        <f>E12</f>
        <v>767355.0199999999</v>
      </c>
    </row>
    <row r="12" spans="2:5">
      <c r="B12" s="173" t="s">
        <v>4</v>
      </c>
      <c r="C12" s="174" t="s">
        <v>5</v>
      </c>
      <c r="D12" s="261">
        <v>1745381.86</v>
      </c>
      <c r="E12" s="262">
        <f>771432.44-4077.42</f>
        <v>767355.0199999999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1745381.86</v>
      </c>
      <c r="E21" s="149">
        <f>E11</f>
        <v>767355.0199999999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2657924.13</v>
      </c>
      <c r="E26" s="232">
        <f>D21</f>
        <v>1745381.86</v>
      </c>
    </row>
    <row r="27" spans="2:6">
      <c r="B27" s="9" t="s">
        <v>17</v>
      </c>
      <c r="C27" s="10" t="s">
        <v>187</v>
      </c>
      <c r="D27" s="201">
        <v>-971225.24</v>
      </c>
      <c r="E27" s="225">
        <f>E28-E32</f>
        <v>-995256.48999999987</v>
      </c>
      <c r="F27" s="72"/>
    </row>
    <row r="28" spans="2:6">
      <c r="B28" s="9" t="s">
        <v>18</v>
      </c>
      <c r="C28" s="10" t="s">
        <v>19</v>
      </c>
      <c r="D28" s="201">
        <v>46588.789999999994</v>
      </c>
      <c r="E28" s="226">
        <f>E29+E30+E31</f>
        <v>34856.04</v>
      </c>
      <c r="F28" s="72"/>
    </row>
    <row r="29" spans="2:6">
      <c r="B29" s="181" t="s">
        <v>4</v>
      </c>
      <c r="C29" s="174" t="s">
        <v>20</v>
      </c>
      <c r="D29" s="202">
        <v>11228.66</v>
      </c>
      <c r="E29" s="227">
        <v>9756.7800000000007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35360.129999999997</v>
      </c>
      <c r="E31" s="227">
        <v>25099.26</v>
      </c>
      <c r="F31" s="72"/>
    </row>
    <row r="32" spans="2:6">
      <c r="B32" s="93" t="s">
        <v>23</v>
      </c>
      <c r="C32" s="11" t="s">
        <v>24</v>
      </c>
      <c r="D32" s="201">
        <v>1017814.03</v>
      </c>
      <c r="E32" s="226">
        <f>E33+E35+E37+E39</f>
        <v>1030112.5299999999</v>
      </c>
      <c r="F32" s="72"/>
    </row>
    <row r="33" spans="2:6">
      <c r="B33" s="181" t="s">
        <v>4</v>
      </c>
      <c r="C33" s="174" t="s">
        <v>25</v>
      </c>
      <c r="D33" s="202">
        <v>104912.78</v>
      </c>
      <c r="E33" s="227">
        <f>982937.49+4077.42</f>
        <v>987014.91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2128.11</v>
      </c>
      <c r="E35" s="227">
        <v>1545.23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35720.230000000003</v>
      </c>
      <c r="E37" s="227">
        <v>16739.95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875052.91</v>
      </c>
      <c r="E39" s="228">
        <v>24812.44</v>
      </c>
      <c r="F39" s="72"/>
    </row>
    <row r="40" spans="2:6" ht="13.5" thickBot="1">
      <c r="B40" s="98" t="s">
        <v>35</v>
      </c>
      <c r="C40" s="99" t="s">
        <v>36</v>
      </c>
      <c r="D40" s="204">
        <v>58682.97</v>
      </c>
      <c r="E40" s="233">
        <v>17229.650000000001</v>
      </c>
    </row>
    <row r="41" spans="2:6" ht="13.5" thickBot="1">
      <c r="B41" s="100" t="s">
        <v>37</v>
      </c>
      <c r="C41" s="101" t="s">
        <v>38</v>
      </c>
      <c r="D41" s="205">
        <v>1745381.8599999999</v>
      </c>
      <c r="E41" s="149">
        <f>E26+E27+E40</f>
        <v>767355.02000000025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9696.9140000000007</v>
      </c>
      <c r="E47" s="150">
        <v>6167.6450000000004</v>
      </c>
    </row>
    <row r="48" spans="2:6">
      <c r="B48" s="186" t="s">
        <v>6</v>
      </c>
      <c r="C48" s="187" t="s">
        <v>41</v>
      </c>
      <c r="D48" s="207">
        <v>6167.6450000000004</v>
      </c>
      <c r="E48" s="150">
        <v>2640.9520200000002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274.10000000000002</v>
      </c>
      <c r="E50" s="150">
        <v>282.99</v>
      </c>
    </row>
    <row r="51" spans="2:5">
      <c r="B51" s="184" t="s">
        <v>6</v>
      </c>
      <c r="C51" s="185" t="s">
        <v>190</v>
      </c>
      <c r="D51" s="209">
        <v>273.12</v>
      </c>
      <c r="E51" s="76">
        <v>281.64999999999998</v>
      </c>
    </row>
    <row r="52" spans="2:5">
      <c r="B52" s="184" t="s">
        <v>8</v>
      </c>
      <c r="C52" s="185" t="s">
        <v>191</v>
      </c>
      <c r="D52" s="209">
        <v>283.17</v>
      </c>
      <c r="E52" s="76">
        <v>290.56</v>
      </c>
    </row>
    <row r="53" spans="2:5" ht="14.25" customHeight="1" thickBot="1">
      <c r="B53" s="188" t="s">
        <v>9</v>
      </c>
      <c r="C53" s="189" t="s">
        <v>41</v>
      </c>
      <c r="D53" s="210">
        <v>282.99</v>
      </c>
      <c r="E53" s="234">
        <v>290.56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767355.0199999999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767355.0199999999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767355.0199999999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767355.0199999999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F81"/>
  <sheetViews>
    <sheetView zoomScale="80" zoomScaleNormal="80" workbookViewId="0">
      <selection activeCell="K37" sqref="K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220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430933.32</v>
      </c>
      <c r="E11" s="258">
        <f>E12</f>
        <v>416807.74000000005</v>
      </c>
    </row>
    <row r="12" spans="2:5">
      <c r="B12" s="173" t="s">
        <v>4</v>
      </c>
      <c r="C12" s="174" t="s">
        <v>5</v>
      </c>
      <c r="D12" s="261">
        <v>430933.32</v>
      </c>
      <c r="E12" s="262">
        <f>444696.03-27888.29</f>
        <v>416807.74000000005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430933.32</v>
      </c>
      <c r="E21" s="149">
        <f>E11-E17</f>
        <v>416807.74000000005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2109066.27</v>
      </c>
      <c r="E26" s="232">
        <f>D21</f>
        <v>430933.32</v>
      </c>
    </row>
    <row r="27" spans="2:6">
      <c r="B27" s="9" t="s">
        <v>17</v>
      </c>
      <c r="C27" s="10" t="s">
        <v>187</v>
      </c>
      <c r="D27" s="201">
        <v>-1701098.8800000001</v>
      </c>
      <c r="E27" s="225">
        <f>E28-E32</f>
        <v>-22640.229999999981</v>
      </c>
      <c r="F27" s="72"/>
    </row>
    <row r="28" spans="2:6">
      <c r="B28" s="9" t="s">
        <v>18</v>
      </c>
      <c r="C28" s="10" t="s">
        <v>19</v>
      </c>
      <c r="D28" s="201">
        <v>159748.9</v>
      </c>
      <c r="E28" s="226">
        <f>E29+E30+E31</f>
        <v>149463.92000000001</v>
      </c>
      <c r="F28" s="72"/>
    </row>
    <row r="29" spans="2:6">
      <c r="B29" s="181" t="s">
        <v>4</v>
      </c>
      <c r="C29" s="174" t="s">
        <v>20</v>
      </c>
      <c r="D29" s="202">
        <v>28712.2</v>
      </c>
      <c r="E29" s="227">
        <v>26312.32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131036.7</v>
      </c>
      <c r="E31" s="227">
        <v>123151.6</v>
      </c>
      <c r="F31" s="72"/>
    </row>
    <row r="32" spans="2:6">
      <c r="B32" s="93" t="s">
        <v>23</v>
      </c>
      <c r="C32" s="11" t="s">
        <v>24</v>
      </c>
      <c r="D32" s="201">
        <v>1860847.78</v>
      </c>
      <c r="E32" s="226">
        <f>E33+E35+E37+E39</f>
        <v>172104.15</v>
      </c>
      <c r="F32" s="72"/>
    </row>
    <row r="33" spans="2:6">
      <c r="B33" s="181" t="s">
        <v>4</v>
      </c>
      <c r="C33" s="174" t="s">
        <v>25</v>
      </c>
      <c r="D33" s="202">
        <v>1361485.89</v>
      </c>
      <c r="E33" s="227">
        <f>131892.92+27855.78</f>
        <v>159748.70000000001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3819.37</v>
      </c>
      <c r="E35" s="227">
        <v>3246.8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19980.34</v>
      </c>
      <c r="E37" s="227">
        <v>6850.24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475562.18</v>
      </c>
      <c r="E39" s="228">
        <v>2258.41</v>
      </c>
      <c r="F39" s="72"/>
    </row>
    <row r="40" spans="2:6" ht="13.5" thickBot="1">
      <c r="B40" s="98" t="s">
        <v>35</v>
      </c>
      <c r="C40" s="99" t="s">
        <v>36</v>
      </c>
      <c r="D40" s="204">
        <v>22965.93</v>
      </c>
      <c r="E40" s="233">
        <v>8514.65</v>
      </c>
    </row>
    <row r="41" spans="2:6" ht="13.5" thickBot="1">
      <c r="B41" s="100" t="s">
        <v>37</v>
      </c>
      <c r="C41" s="101" t="s">
        <v>38</v>
      </c>
      <c r="D41" s="205">
        <v>430933.31999999989</v>
      </c>
      <c r="E41" s="149">
        <f>E26+E27+E40</f>
        <v>416807.74000000005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8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7959.0410000000002</v>
      </c>
      <c r="E47" s="150">
        <v>1590.5119999999999</v>
      </c>
    </row>
    <row r="48" spans="2:6">
      <c r="B48" s="124" t="s">
        <v>6</v>
      </c>
      <c r="C48" s="22" t="s">
        <v>41</v>
      </c>
      <c r="D48" s="207">
        <v>1590.5119999999999</v>
      </c>
      <c r="E48" s="150">
        <v>1509.298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264.99</v>
      </c>
      <c r="E50" s="150">
        <v>270.94</v>
      </c>
    </row>
    <row r="51" spans="2:5">
      <c r="B51" s="103" t="s">
        <v>6</v>
      </c>
      <c r="C51" s="15" t="s">
        <v>190</v>
      </c>
      <c r="D51" s="209">
        <v>264.95999999999998</v>
      </c>
      <c r="E51" s="150">
        <v>270.91000000000003</v>
      </c>
    </row>
    <row r="52" spans="2:5">
      <c r="B52" s="103" t="s">
        <v>8</v>
      </c>
      <c r="C52" s="15" t="s">
        <v>191</v>
      </c>
      <c r="D52" s="209">
        <v>270.94</v>
      </c>
      <c r="E52" s="76">
        <v>276.18</v>
      </c>
    </row>
    <row r="53" spans="2:5" ht="13.5" customHeight="1" thickBot="1">
      <c r="B53" s="104" t="s">
        <v>9</v>
      </c>
      <c r="C53" s="17" t="s">
        <v>41</v>
      </c>
      <c r="D53" s="210">
        <v>270.94</v>
      </c>
      <c r="E53" s="234">
        <v>276.16000000000003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416807.74000000005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416807.74000000005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416807.74000000005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416807.74000000005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81"/>
  <sheetViews>
    <sheetView zoomScale="80" zoomScaleNormal="80" workbookViewId="0">
      <selection activeCell="H32" sqref="H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4" t="s">
        <v>0</v>
      </c>
      <c r="C2" s="354"/>
      <c r="D2" s="354"/>
      <c r="E2" s="354"/>
      <c r="G2" s="72"/>
    </row>
    <row r="3" spans="2:7" ht="15.75">
      <c r="B3" s="354" t="s">
        <v>290</v>
      </c>
      <c r="C3" s="354"/>
      <c r="D3" s="354"/>
      <c r="E3" s="354"/>
    </row>
    <row r="4" spans="2:7" ht="15">
      <c r="B4" s="86"/>
      <c r="C4" s="86"/>
      <c r="D4" s="86"/>
      <c r="E4" s="86"/>
    </row>
    <row r="5" spans="2:7" ht="21" customHeight="1">
      <c r="B5" s="355" t="s">
        <v>1</v>
      </c>
      <c r="C5" s="355"/>
      <c r="D5" s="355"/>
      <c r="E5" s="355"/>
    </row>
    <row r="6" spans="2:7" ht="14.25">
      <c r="B6" s="356" t="s">
        <v>100</v>
      </c>
      <c r="C6" s="356"/>
      <c r="D6" s="356"/>
      <c r="E6" s="356"/>
    </row>
    <row r="7" spans="2:7" ht="14.25">
      <c r="B7" s="90"/>
      <c r="C7" s="90"/>
      <c r="D7" s="90"/>
      <c r="E7" s="90"/>
    </row>
    <row r="8" spans="2:7" ht="13.5">
      <c r="B8" s="358" t="s">
        <v>18</v>
      </c>
      <c r="C8" s="360"/>
      <c r="D8" s="360"/>
      <c r="E8" s="360"/>
    </row>
    <row r="9" spans="2:7" ht="16.5" thickBot="1">
      <c r="B9" s="357" t="s">
        <v>179</v>
      </c>
      <c r="C9" s="357"/>
      <c r="D9" s="357"/>
      <c r="E9" s="357"/>
    </row>
    <row r="10" spans="2:7" ht="13.5" thickBot="1">
      <c r="B10" s="256"/>
      <c r="C10" s="216" t="s">
        <v>2</v>
      </c>
      <c r="D10" s="71" t="s">
        <v>223</v>
      </c>
      <c r="E10" s="29" t="s">
        <v>267</v>
      </c>
    </row>
    <row r="11" spans="2:7">
      <c r="B11" s="91" t="s">
        <v>3</v>
      </c>
      <c r="C11" s="129" t="s">
        <v>185</v>
      </c>
      <c r="D11" s="257">
        <v>63431122.060000002</v>
      </c>
      <c r="E11" s="258">
        <f>E12+E13+E14</f>
        <v>70524437.230000004</v>
      </c>
    </row>
    <row r="12" spans="2:7">
      <c r="B12" s="173" t="s">
        <v>4</v>
      </c>
      <c r="C12" s="174" t="s">
        <v>5</v>
      </c>
      <c r="D12" s="261">
        <v>63259998.410000004</v>
      </c>
      <c r="E12" s="262">
        <f>72059108.4-1840451.79</f>
        <v>70218656.609999999</v>
      </c>
    </row>
    <row r="13" spans="2:7">
      <c r="B13" s="173" t="s">
        <v>6</v>
      </c>
      <c r="C13" s="175" t="s">
        <v>7</v>
      </c>
      <c r="D13" s="261"/>
      <c r="E13" s="262"/>
    </row>
    <row r="14" spans="2:7">
      <c r="B14" s="173" t="s">
        <v>8</v>
      </c>
      <c r="C14" s="175" t="s">
        <v>10</v>
      </c>
      <c r="D14" s="261">
        <v>171123.65000000002</v>
      </c>
      <c r="E14" s="262">
        <f>E15</f>
        <v>305780.62</v>
      </c>
    </row>
    <row r="15" spans="2:7">
      <c r="B15" s="173" t="s">
        <v>182</v>
      </c>
      <c r="C15" s="175" t="s">
        <v>11</v>
      </c>
      <c r="D15" s="261">
        <v>171123.65000000002</v>
      </c>
      <c r="E15" s="262">
        <v>305780.62</v>
      </c>
    </row>
    <row r="16" spans="2:7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>
        <v>31619.93</v>
      </c>
      <c r="E17" s="266">
        <f>SUM(E18:E19)</f>
        <v>38993.769999999997</v>
      </c>
    </row>
    <row r="18" spans="2:6">
      <c r="B18" s="173" t="s">
        <v>4</v>
      </c>
      <c r="C18" s="174" t="s">
        <v>11</v>
      </c>
      <c r="D18" s="261">
        <v>31619.93</v>
      </c>
      <c r="E18" s="264">
        <v>38993.769999999997</v>
      </c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63399502.130000003</v>
      </c>
      <c r="E21" s="149">
        <f>E11-E17</f>
        <v>70485443.460000008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7.25" customHeight="1" thickBot="1">
      <c r="B24" s="357" t="s">
        <v>181</v>
      </c>
      <c r="C24" s="367"/>
      <c r="D24" s="367"/>
      <c r="E24" s="367"/>
    </row>
    <row r="25" spans="2:6" ht="13.5" thickBot="1">
      <c r="B25" s="87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47350347.530000001</v>
      </c>
      <c r="E26" s="232">
        <f>D21</f>
        <v>63399502.130000003</v>
      </c>
    </row>
    <row r="27" spans="2:6">
      <c r="B27" s="9" t="s">
        <v>17</v>
      </c>
      <c r="C27" s="10" t="s">
        <v>187</v>
      </c>
      <c r="D27" s="201">
        <v>14618603.360000001</v>
      </c>
      <c r="E27" s="225">
        <f>E28-E32</f>
        <v>6960714.9199999962</v>
      </c>
      <c r="F27" s="72"/>
    </row>
    <row r="28" spans="2:6">
      <c r="B28" s="9" t="s">
        <v>18</v>
      </c>
      <c r="C28" s="10" t="s">
        <v>19</v>
      </c>
      <c r="D28" s="201">
        <v>26232462.440000001</v>
      </c>
      <c r="E28" s="226">
        <v>20702298.549999997</v>
      </c>
      <c r="F28" s="72"/>
    </row>
    <row r="29" spans="2:6">
      <c r="B29" s="105" t="s">
        <v>4</v>
      </c>
      <c r="C29" s="6" t="s">
        <v>20</v>
      </c>
      <c r="D29" s="202">
        <v>21540522.990000002</v>
      </c>
      <c r="E29" s="227">
        <v>18254588.850000001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>
        <v>4691939.45</v>
      </c>
      <c r="E31" s="227">
        <v>2447709.7000000002</v>
      </c>
      <c r="F31" s="72"/>
    </row>
    <row r="32" spans="2:6">
      <c r="B32" s="93" t="s">
        <v>23</v>
      </c>
      <c r="C32" s="11" t="s">
        <v>24</v>
      </c>
      <c r="D32" s="201">
        <v>11613859.08</v>
      </c>
      <c r="E32" s="226">
        <f>SUM(E33:E39)</f>
        <v>13741583.630000001</v>
      </c>
      <c r="F32" s="72"/>
    </row>
    <row r="33" spans="2:6">
      <c r="B33" s="105" t="s">
        <v>4</v>
      </c>
      <c r="C33" s="6" t="s">
        <v>25</v>
      </c>
      <c r="D33" s="202">
        <v>8460026.1400000006</v>
      </c>
      <c r="E33" s="227">
        <f>9444975.45+1332215.71</f>
        <v>10777191.16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1200920.8399999999</v>
      </c>
      <c r="E35" s="227">
        <v>1363795.75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1952912.1</v>
      </c>
      <c r="E39" s="228">
        <v>1600596.72</v>
      </c>
      <c r="F39" s="72"/>
    </row>
    <row r="40" spans="2:6" ht="13.5" thickBot="1">
      <c r="B40" s="98" t="s">
        <v>35</v>
      </c>
      <c r="C40" s="99" t="s">
        <v>36</v>
      </c>
      <c r="D40" s="204">
        <v>1430551.24</v>
      </c>
      <c r="E40" s="233">
        <v>125226.41</v>
      </c>
    </row>
    <row r="41" spans="2:6" ht="13.5" thickBot="1">
      <c r="B41" s="100" t="s">
        <v>37</v>
      </c>
      <c r="C41" s="101" t="s">
        <v>38</v>
      </c>
      <c r="D41" s="205">
        <v>63399502.130000003</v>
      </c>
      <c r="E41" s="149">
        <f>E26+E27+E40</f>
        <v>70485443.459999993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7.2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4327373.3824351626</v>
      </c>
      <c r="E47" s="74">
        <v>5647151.1624999996</v>
      </c>
    </row>
    <row r="48" spans="2:6">
      <c r="B48" s="124" t="s">
        <v>6</v>
      </c>
      <c r="C48" s="22" t="s">
        <v>41</v>
      </c>
      <c r="D48" s="207">
        <v>5647151.1624999996</v>
      </c>
      <c r="E48" s="302">
        <v>6267415.9493199997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10.9420526830884</v>
      </c>
      <c r="E50" s="74">
        <v>11.2268115914646</v>
      </c>
    </row>
    <row r="51" spans="2:5">
      <c r="B51" s="103" t="s">
        <v>6</v>
      </c>
      <c r="C51" s="15" t="s">
        <v>190</v>
      </c>
      <c r="D51" s="294">
        <v>10.9329</v>
      </c>
      <c r="E51" s="304">
        <v>11.186500000000001</v>
      </c>
    </row>
    <row r="52" spans="2:5" ht="12.75" customHeight="1">
      <c r="B52" s="103" t="s">
        <v>8</v>
      </c>
      <c r="C52" s="15" t="s">
        <v>191</v>
      </c>
      <c r="D52" s="294">
        <v>11.227499999999999</v>
      </c>
      <c r="E52" s="304">
        <v>11.2768</v>
      </c>
    </row>
    <row r="53" spans="2:5" ht="13.5" thickBot="1">
      <c r="B53" s="104" t="s">
        <v>9</v>
      </c>
      <c r="C53" s="17" t="s">
        <v>41</v>
      </c>
      <c r="D53" s="210">
        <v>11.2268115914646</v>
      </c>
      <c r="E53" s="305">
        <v>11.2463324645959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70218656.609999985</v>
      </c>
      <c r="E58" s="32">
        <f>D58/E21</f>
        <v>0.99621500785262951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71264875.83-1840451.79</f>
        <v>69424424.039999992</v>
      </c>
      <c r="E64" s="82">
        <f>D64/E21</f>
        <v>0.98494697106357654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794232.57</v>
      </c>
      <c r="E69" s="80">
        <f>D69/E21</f>
        <v>1.1268036789053066E-2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305780.62</v>
      </c>
      <c r="E72" s="120">
        <f>D72/E21</f>
        <v>4.3382094939010823E-3</v>
      </c>
    </row>
    <row r="73" spans="2:5">
      <c r="B73" s="23" t="s">
        <v>62</v>
      </c>
      <c r="C73" s="24" t="s">
        <v>65</v>
      </c>
      <c r="D73" s="25">
        <f>E17</f>
        <v>38993.769999999997</v>
      </c>
      <c r="E73" s="26">
        <f>D73/E21</f>
        <v>5.5321734653097107E-4</v>
      </c>
    </row>
    <row r="74" spans="2:5">
      <c r="B74" s="121" t="s">
        <v>64</v>
      </c>
      <c r="C74" s="122" t="s">
        <v>66</v>
      </c>
      <c r="D74" s="123">
        <f>D58+D71+D72-D73</f>
        <v>70485443.459999993</v>
      </c>
      <c r="E74" s="67">
        <f>E58+E72-E73</f>
        <v>0.99999999999999956</v>
      </c>
    </row>
    <row r="75" spans="2:5">
      <c r="B75" s="14" t="s">
        <v>4</v>
      </c>
      <c r="C75" s="15" t="s">
        <v>67</v>
      </c>
      <c r="D75" s="79">
        <f>D74</f>
        <v>70485443.459999993</v>
      </c>
      <c r="E75" s="80">
        <f>E74</f>
        <v>0.99999999999999956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221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199320.57</v>
      </c>
      <c r="E11" s="258">
        <f>E12</f>
        <v>111648.58</v>
      </c>
    </row>
    <row r="12" spans="2:5">
      <c r="B12" s="173" t="s">
        <v>4</v>
      </c>
      <c r="C12" s="174" t="s">
        <v>5</v>
      </c>
      <c r="D12" s="261">
        <v>199320.57</v>
      </c>
      <c r="E12" s="262">
        <f>114193.7-2545.12</f>
        <v>111648.58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199320.57</v>
      </c>
      <c r="E21" s="149">
        <f>E11</f>
        <v>111648.58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221682.71</v>
      </c>
      <c r="E26" s="232">
        <f>D21</f>
        <v>199320.57</v>
      </c>
    </row>
    <row r="27" spans="2:6">
      <c r="B27" s="9" t="s">
        <v>17</v>
      </c>
      <c r="C27" s="10" t="s">
        <v>187</v>
      </c>
      <c r="D27" s="201">
        <v>-35941.369999999995</v>
      </c>
      <c r="E27" s="225">
        <f>E28-E32</f>
        <v>-71500.219999999987</v>
      </c>
      <c r="F27" s="72"/>
    </row>
    <row r="28" spans="2:6">
      <c r="B28" s="9" t="s">
        <v>18</v>
      </c>
      <c r="C28" s="10" t="s">
        <v>19</v>
      </c>
      <c r="D28" s="201">
        <v>7882.69</v>
      </c>
      <c r="E28" s="226">
        <f>E29+E30+E31</f>
        <v>7697.09</v>
      </c>
      <c r="F28" s="72"/>
    </row>
    <row r="29" spans="2:6">
      <c r="B29" s="181" t="s">
        <v>4</v>
      </c>
      <c r="C29" s="174" t="s">
        <v>20</v>
      </c>
      <c r="D29" s="202">
        <v>7882.69</v>
      </c>
      <c r="E29" s="227">
        <v>7697.09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43824.06</v>
      </c>
      <c r="E32" s="226">
        <f>E33+E35+E37+E39</f>
        <v>79197.309999999983</v>
      </c>
      <c r="F32" s="72"/>
    </row>
    <row r="33" spans="2:6">
      <c r="B33" s="181" t="s">
        <v>4</v>
      </c>
      <c r="C33" s="174" t="s">
        <v>25</v>
      </c>
      <c r="D33" s="202">
        <v>17443.7</v>
      </c>
      <c r="E33" s="227">
        <f>73694.04+2545.12</f>
        <v>76239.159999999989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588.24</v>
      </c>
      <c r="E35" s="227">
        <v>527.72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3571.46</v>
      </c>
      <c r="E37" s="227">
        <v>2430.4299999999998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22220.66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13579.23</v>
      </c>
      <c r="E40" s="233">
        <v>-16171.77</v>
      </c>
    </row>
    <row r="41" spans="2:6" ht="13.5" thickBot="1">
      <c r="B41" s="100" t="s">
        <v>37</v>
      </c>
      <c r="C41" s="101" t="s">
        <v>38</v>
      </c>
      <c r="D41" s="205">
        <v>199320.57</v>
      </c>
      <c r="E41" s="149">
        <f>E26+E27+E40</f>
        <v>111648.58000000002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1049.038</v>
      </c>
      <c r="E47" s="150">
        <v>884.88599999999997</v>
      </c>
    </row>
    <row r="48" spans="2:6">
      <c r="B48" s="186" t="s">
        <v>6</v>
      </c>
      <c r="C48" s="187" t="s">
        <v>41</v>
      </c>
      <c r="D48" s="207">
        <v>884.88599999999997</v>
      </c>
      <c r="E48" s="150">
        <v>552.25098000000003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211.32</v>
      </c>
      <c r="E50" s="150">
        <v>225.25</v>
      </c>
    </row>
    <row r="51" spans="2:5">
      <c r="B51" s="184" t="s">
        <v>6</v>
      </c>
      <c r="C51" s="185" t="s">
        <v>190</v>
      </c>
      <c r="D51" s="209">
        <v>211.32</v>
      </c>
      <c r="E51" s="76">
        <v>200.67</v>
      </c>
    </row>
    <row r="52" spans="2:5">
      <c r="B52" s="184" t="s">
        <v>8</v>
      </c>
      <c r="C52" s="185" t="s">
        <v>191</v>
      </c>
      <c r="D52" s="209">
        <v>228.05</v>
      </c>
      <c r="E52" s="76">
        <v>234.42</v>
      </c>
    </row>
    <row r="53" spans="2:5" ht="13.5" thickBot="1">
      <c r="B53" s="188" t="s">
        <v>9</v>
      </c>
      <c r="C53" s="189" t="s">
        <v>41</v>
      </c>
      <c r="D53" s="210">
        <v>225.25</v>
      </c>
      <c r="E53" s="234">
        <v>202.17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111648.58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24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111648.58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111648.58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111648.58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77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30808873.649999999</v>
      </c>
      <c r="E11" s="258">
        <f>E12</f>
        <v>26020525.09</v>
      </c>
    </row>
    <row r="12" spans="2:5">
      <c r="B12" s="173" t="s">
        <v>4</v>
      </c>
      <c r="C12" s="174" t="s">
        <v>5</v>
      </c>
      <c r="D12" s="261">
        <v>30808873.649999999</v>
      </c>
      <c r="E12" s="351">
        <f>26039281.14-18756.05</f>
        <v>26020525.09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30808873.649999999</v>
      </c>
      <c r="E21" s="149">
        <f>E11</f>
        <v>26020525.09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171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29956217.23</v>
      </c>
      <c r="E26" s="232">
        <f>D21</f>
        <v>30808873.649999999</v>
      </c>
    </row>
    <row r="27" spans="2:6">
      <c r="B27" s="9" t="s">
        <v>17</v>
      </c>
      <c r="C27" s="10" t="s">
        <v>187</v>
      </c>
      <c r="D27" s="201">
        <v>-3686447.0399999996</v>
      </c>
      <c r="E27" s="225">
        <f>E28-E32</f>
        <v>-1024483.1599999997</v>
      </c>
      <c r="F27" s="72"/>
    </row>
    <row r="28" spans="2:6">
      <c r="B28" s="9" t="s">
        <v>18</v>
      </c>
      <c r="C28" s="10" t="s">
        <v>19</v>
      </c>
      <c r="D28" s="201">
        <v>3052525.22</v>
      </c>
      <c r="E28" s="226">
        <f>E29+E30+E31</f>
        <v>2639029.9300000002</v>
      </c>
      <c r="F28" s="72"/>
    </row>
    <row r="29" spans="2:6">
      <c r="B29" s="181" t="s">
        <v>4</v>
      </c>
      <c r="C29" s="174" t="s">
        <v>20</v>
      </c>
      <c r="D29" s="202">
        <v>3052525.22</v>
      </c>
      <c r="E29" s="227">
        <v>2639029.9300000002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6738972.2599999998</v>
      </c>
      <c r="E32" s="226">
        <f>E33+E35+E37+E39</f>
        <v>3663513.09</v>
      </c>
      <c r="F32" s="72"/>
    </row>
    <row r="33" spans="2:6">
      <c r="B33" s="181" t="s">
        <v>4</v>
      </c>
      <c r="C33" s="174" t="s">
        <v>25</v>
      </c>
      <c r="D33" s="202">
        <v>6738972.2599999998</v>
      </c>
      <c r="E33" s="227">
        <f>3644757.04+18756.05</f>
        <v>3663513.09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4539103.46</v>
      </c>
      <c r="E40" s="233">
        <v>-3763865.4</v>
      </c>
    </row>
    <row r="41" spans="2:6" ht="13.5" thickBot="1">
      <c r="B41" s="100" t="s">
        <v>37</v>
      </c>
      <c r="C41" s="101" t="s">
        <v>38</v>
      </c>
      <c r="D41" s="205">
        <v>30808873.650000002</v>
      </c>
      <c r="E41" s="149">
        <f>E26+E27+E40</f>
        <v>26020525.09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8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1707714.6018000001</v>
      </c>
      <c r="E47" s="150">
        <v>1503025.8537999999</v>
      </c>
    </row>
    <row r="48" spans="2:6">
      <c r="B48" s="124" t="s">
        <v>6</v>
      </c>
      <c r="C48" s="22" t="s">
        <v>41</v>
      </c>
      <c r="D48" s="207">
        <v>1503025.8537999999</v>
      </c>
      <c r="E48" s="150">
        <v>1452208.4110999999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17.541699999999999</v>
      </c>
      <c r="E50" s="150">
        <v>20.497900000000001</v>
      </c>
    </row>
    <row r="51" spans="2:5">
      <c r="B51" s="103" t="s">
        <v>6</v>
      </c>
      <c r="C51" s="15" t="s">
        <v>190</v>
      </c>
      <c r="D51" s="209">
        <v>16.956099999999999</v>
      </c>
      <c r="E51" s="76">
        <v>17.284700000000001</v>
      </c>
    </row>
    <row r="52" spans="2:5">
      <c r="B52" s="103" t="s">
        <v>8</v>
      </c>
      <c r="C52" s="15" t="s">
        <v>191</v>
      </c>
      <c r="D52" s="209">
        <v>20.759799999999998</v>
      </c>
      <c r="E52" s="76">
        <v>21.9465</v>
      </c>
    </row>
    <row r="53" spans="2:5" ht="13.5" customHeight="1" thickBot="1">
      <c r="B53" s="104" t="s">
        <v>9</v>
      </c>
      <c r="C53" s="17" t="s">
        <v>41</v>
      </c>
      <c r="D53" s="210">
        <v>20.497900000000001</v>
      </c>
      <c r="E53" s="234">
        <v>17.917899999999999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26020525.09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26020525.09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26020525.09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26020525.09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78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43851822.480000004</v>
      </c>
      <c r="E11" s="258">
        <f>E12</f>
        <v>37733841.700000003</v>
      </c>
    </row>
    <row r="12" spans="2:5">
      <c r="B12" s="173" t="s">
        <v>4</v>
      </c>
      <c r="C12" s="174" t="s">
        <v>5</v>
      </c>
      <c r="D12" s="261">
        <v>43851822.480000004</v>
      </c>
      <c r="E12" s="262">
        <f>37753167.63-19325.93</f>
        <v>37733841.700000003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43851822.480000004</v>
      </c>
      <c r="E21" s="149">
        <f>E11-E17</f>
        <v>37733841.700000003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43513565.350000001</v>
      </c>
      <c r="E26" s="232">
        <f>D21</f>
        <v>43851822.480000004</v>
      </c>
    </row>
    <row r="27" spans="2:6">
      <c r="B27" s="9" t="s">
        <v>17</v>
      </c>
      <c r="C27" s="10" t="s">
        <v>187</v>
      </c>
      <c r="D27" s="201">
        <v>-3781066.2299999995</v>
      </c>
      <c r="E27" s="225">
        <f>E28-E32</f>
        <v>-1432049.8500000006</v>
      </c>
      <c r="F27" s="72"/>
    </row>
    <row r="28" spans="2:6">
      <c r="B28" s="9" t="s">
        <v>18</v>
      </c>
      <c r="C28" s="10" t="s">
        <v>19</v>
      </c>
      <c r="D28" s="201">
        <v>4183851.5</v>
      </c>
      <c r="E28" s="226">
        <f>E29+E30+E31</f>
        <v>3679733.34</v>
      </c>
      <c r="F28" s="72"/>
    </row>
    <row r="29" spans="2:6">
      <c r="B29" s="181" t="s">
        <v>4</v>
      </c>
      <c r="C29" s="174" t="s">
        <v>20</v>
      </c>
      <c r="D29" s="202">
        <v>4183851.5</v>
      </c>
      <c r="E29" s="227">
        <v>3679733.34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7964917.7299999995</v>
      </c>
      <c r="E32" s="226">
        <f>E33+E35+E37+E39</f>
        <v>5111783.1900000004</v>
      </c>
      <c r="F32" s="72"/>
    </row>
    <row r="33" spans="2:6">
      <c r="B33" s="181" t="s">
        <v>4</v>
      </c>
      <c r="C33" s="174" t="s">
        <v>25</v>
      </c>
      <c r="D33" s="202">
        <v>7964917.7299999995</v>
      </c>
      <c r="E33" s="227">
        <f>5142010.45-30227.26</f>
        <v>5111783.1900000004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4119323.36</v>
      </c>
      <c r="E40" s="233">
        <v>-4685930.93</v>
      </c>
    </row>
    <row r="41" spans="2:6" ht="13.5" thickBot="1">
      <c r="B41" s="100" t="s">
        <v>37</v>
      </c>
      <c r="C41" s="101" t="s">
        <v>38</v>
      </c>
      <c r="D41" s="205">
        <v>43851822.480000004</v>
      </c>
      <c r="E41" s="149">
        <f>E26+E27+E40</f>
        <v>37733841.700000003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8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937434.75760000001</v>
      </c>
      <c r="E47" s="150">
        <v>856683.36618600006</v>
      </c>
    </row>
    <row r="48" spans="2:6">
      <c r="B48" s="124" t="s">
        <v>6</v>
      </c>
      <c r="C48" s="22" t="s">
        <v>41</v>
      </c>
      <c r="D48" s="207">
        <v>856683.36618600006</v>
      </c>
      <c r="E48" s="150">
        <v>828481.25842600001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46.417700000000004</v>
      </c>
      <c r="E50" s="150">
        <v>51.187899999999999</v>
      </c>
    </row>
    <row r="51" spans="2:5">
      <c r="B51" s="103" t="s">
        <v>6</v>
      </c>
      <c r="C51" s="15" t="s">
        <v>190</v>
      </c>
      <c r="D51" s="209">
        <v>45.835799999999999</v>
      </c>
      <c r="E51" s="76">
        <v>44.446599999999997</v>
      </c>
    </row>
    <row r="52" spans="2:5">
      <c r="B52" s="103" t="s">
        <v>8</v>
      </c>
      <c r="C52" s="15" t="s">
        <v>191</v>
      </c>
      <c r="D52" s="209">
        <v>51.54</v>
      </c>
      <c r="E52" s="76">
        <v>54.7348</v>
      </c>
    </row>
    <row r="53" spans="2:5" ht="12.75" customHeight="1" thickBot="1">
      <c r="B53" s="104" t="s">
        <v>9</v>
      </c>
      <c r="C53" s="17" t="s">
        <v>41</v>
      </c>
      <c r="D53" s="210">
        <v>51.187899999999999</v>
      </c>
      <c r="E53" s="234">
        <v>45.5458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37733841.700000003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37733841.700000003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37733841.700000003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37733841.700000003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 customHeight="1">
      <c r="B6" s="356" t="s">
        <v>79</v>
      </c>
      <c r="C6" s="356"/>
      <c r="D6" s="356"/>
      <c r="E6" s="356"/>
    </row>
    <row r="7" spans="2:5" ht="14.25">
      <c r="B7" s="255"/>
      <c r="C7" s="255"/>
      <c r="D7" s="255"/>
      <c r="E7" s="255"/>
    </row>
    <row r="8" spans="2:5" ht="13.5" customHeight="1">
      <c r="B8" s="358" t="s">
        <v>18</v>
      </c>
      <c r="C8" s="358"/>
      <c r="D8" s="358"/>
      <c r="E8" s="358"/>
    </row>
    <row r="9" spans="2:5" ht="16.5" customHeight="1" thickBot="1">
      <c r="B9" s="357" t="s">
        <v>179</v>
      </c>
      <c r="C9" s="357"/>
      <c r="D9" s="357"/>
      <c r="E9" s="357"/>
    </row>
    <row r="10" spans="2:5" ht="13.5" thickBot="1">
      <c r="B10" s="25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37772087.049999997</v>
      </c>
      <c r="E11" s="258">
        <f>E12</f>
        <v>31352304.68</v>
      </c>
    </row>
    <row r="12" spans="2:5">
      <c r="B12" s="173" t="s">
        <v>4</v>
      </c>
      <c r="C12" s="174" t="s">
        <v>5</v>
      </c>
      <c r="D12" s="261">
        <v>37772087.049999997</v>
      </c>
      <c r="E12" s="262">
        <f>31411089.46-58784.78</f>
        <v>31352304.68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customHeight="1" thickBot="1">
      <c r="B21" s="362" t="s">
        <v>186</v>
      </c>
      <c r="C21" s="374"/>
      <c r="D21" s="269">
        <v>37772087.049999997</v>
      </c>
      <c r="E21" s="149">
        <f>E11-E17</f>
        <v>31352304.68</v>
      </c>
      <c r="F21" s="78"/>
    </row>
    <row r="22" spans="2:6">
      <c r="B22" s="3"/>
      <c r="C22" s="7"/>
      <c r="D22" s="8"/>
      <c r="E22" s="8"/>
    </row>
    <row r="23" spans="2:6" ht="13.5" customHeight="1">
      <c r="B23" s="358" t="s">
        <v>180</v>
      </c>
      <c r="C23" s="358"/>
      <c r="D23" s="358"/>
      <c r="E23" s="358"/>
    </row>
    <row r="24" spans="2:6" ht="15.75" customHeight="1" thickBot="1">
      <c r="B24" s="357" t="s">
        <v>181</v>
      </c>
      <c r="C24" s="357"/>
      <c r="D24" s="357"/>
      <c r="E24" s="357"/>
    </row>
    <row r="25" spans="2:6" ht="13.5" thickBot="1">
      <c r="B25" s="256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39215985.340000004</v>
      </c>
      <c r="E26" s="232">
        <f>D21</f>
        <v>37772087.049999997</v>
      </c>
    </row>
    <row r="27" spans="2:6">
      <c r="B27" s="9" t="s">
        <v>17</v>
      </c>
      <c r="C27" s="10" t="s">
        <v>187</v>
      </c>
      <c r="D27" s="201">
        <v>-5343478.5700000022</v>
      </c>
      <c r="E27" s="225">
        <f>E28-E32</f>
        <v>-2028356.48</v>
      </c>
      <c r="F27" s="72"/>
    </row>
    <row r="28" spans="2:6">
      <c r="B28" s="9" t="s">
        <v>18</v>
      </c>
      <c r="C28" s="10" t="s">
        <v>19</v>
      </c>
      <c r="D28" s="201">
        <v>3611950.17</v>
      </c>
      <c r="E28" s="226">
        <f>E29+E30+E31</f>
        <v>3025408.82</v>
      </c>
      <c r="F28" s="72"/>
    </row>
    <row r="29" spans="2:6">
      <c r="B29" s="181" t="s">
        <v>4</v>
      </c>
      <c r="C29" s="174" t="s">
        <v>20</v>
      </c>
      <c r="D29" s="202">
        <v>3611950.17</v>
      </c>
      <c r="E29" s="227">
        <v>3025408.82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8955428.7400000021</v>
      </c>
      <c r="E32" s="226">
        <f>E33+E35+E37+E39</f>
        <v>5053765.3</v>
      </c>
      <c r="F32" s="72"/>
    </row>
    <row r="33" spans="2:6">
      <c r="B33" s="181" t="s">
        <v>4</v>
      </c>
      <c r="C33" s="174" t="s">
        <v>25</v>
      </c>
      <c r="D33" s="202">
        <v>8955428.7400000021</v>
      </c>
      <c r="E33" s="227">
        <v>5053765.3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3899580.28</v>
      </c>
      <c r="E40" s="233">
        <v>-4391425.8899999997</v>
      </c>
    </row>
    <row r="41" spans="2:6" ht="13.5" thickBot="1">
      <c r="B41" s="100" t="s">
        <v>37</v>
      </c>
      <c r="C41" s="101" t="s">
        <v>38</v>
      </c>
      <c r="D41" s="205">
        <v>37772087.050000004</v>
      </c>
      <c r="E41" s="149">
        <f>E26+E27+E40</f>
        <v>31352304.68</v>
      </c>
      <c r="F41" s="78"/>
    </row>
    <row r="42" spans="2:6">
      <c r="B42" s="94"/>
      <c r="C42" s="94"/>
      <c r="D42" s="95"/>
      <c r="E42" s="95"/>
      <c r="F42" s="78"/>
    </row>
    <row r="43" spans="2:6" ht="13.5" customHeight="1">
      <c r="B43" s="359" t="s">
        <v>60</v>
      </c>
      <c r="C43" s="359"/>
      <c r="D43" s="359"/>
      <c r="E43" s="359"/>
    </row>
    <row r="44" spans="2:6" ht="18" customHeight="1" thickBot="1">
      <c r="B44" s="357" t="s">
        <v>204</v>
      </c>
      <c r="C44" s="357"/>
      <c r="D44" s="357"/>
      <c r="E44" s="357"/>
    </row>
    <row r="45" spans="2:6" ht="13.5" thickBot="1">
      <c r="B45" s="25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813398.71070000005</v>
      </c>
      <c r="E47" s="150">
        <v>706206.44039999996</v>
      </c>
    </row>
    <row r="48" spans="2:6">
      <c r="B48" s="186" t="s">
        <v>6</v>
      </c>
      <c r="C48" s="187" t="s">
        <v>41</v>
      </c>
      <c r="D48" s="207">
        <v>706206.44039999996</v>
      </c>
      <c r="E48" s="150">
        <v>667678.32579000003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48.212499999999999</v>
      </c>
      <c r="E50" s="150">
        <v>53.485900000000001</v>
      </c>
    </row>
    <row r="51" spans="2:5">
      <c r="B51" s="184" t="s">
        <v>6</v>
      </c>
      <c r="C51" s="185" t="s">
        <v>190</v>
      </c>
      <c r="D51" s="209">
        <v>47.586300000000001</v>
      </c>
      <c r="E51" s="76">
        <v>45.5413</v>
      </c>
    </row>
    <row r="52" spans="2:5">
      <c r="B52" s="184" t="s">
        <v>8</v>
      </c>
      <c r="C52" s="185" t="s">
        <v>191</v>
      </c>
      <c r="D52" s="209">
        <v>54.131</v>
      </c>
      <c r="E52" s="76">
        <v>57.652299999999997</v>
      </c>
    </row>
    <row r="53" spans="2:5" ht="13.5" customHeight="1" thickBot="1">
      <c r="B53" s="188" t="s">
        <v>9</v>
      </c>
      <c r="C53" s="189" t="s">
        <v>41</v>
      </c>
      <c r="D53" s="210">
        <v>53.485900000000001</v>
      </c>
      <c r="E53" s="234">
        <v>46.9572</v>
      </c>
    </row>
    <row r="54" spans="2:5">
      <c r="B54" s="110"/>
      <c r="C54" s="111"/>
      <c r="D54" s="112"/>
      <c r="E54" s="112"/>
    </row>
    <row r="55" spans="2:5" ht="13.5" customHeight="1">
      <c r="B55" s="359" t="s">
        <v>62</v>
      </c>
      <c r="C55" s="359"/>
      <c r="D55" s="359"/>
      <c r="E55" s="359"/>
    </row>
    <row r="56" spans="2:5" ht="18" customHeight="1" thickBot="1">
      <c r="B56" s="357" t="s">
        <v>192</v>
      </c>
      <c r="C56" s="357"/>
      <c r="D56" s="357"/>
      <c r="E56" s="357"/>
    </row>
    <row r="57" spans="2:5" ht="23.25" customHeight="1" thickBot="1">
      <c r="B57" s="372" t="s">
        <v>42</v>
      </c>
      <c r="C57" s="37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31352304.68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31352304.68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31352304.68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31352304.68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48"/>
      <c r="C4" s="148"/>
      <c r="D4" s="148"/>
      <c r="E4" s="148"/>
    </row>
    <row r="5" spans="2:5" ht="21" customHeight="1">
      <c r="B5" s="355" t="s">
        <v>1</v>
      </c>
      <c r="C5" s="355"/>
      <c r="D5" s="355"/>
      <c r="E5" s="355"/>
    </row>
    <row r="6" spans="2:5" ht="14.25" customHeight="1">
      <c r="B6" s="356" t="s">
        <v>80</v>
      </c>
      <c r="C6" s="356"/>
      <c r="D6" s="356"/>
      <c r="E6" s="356"/>
    </row>
    <row r="7" spans="2:5" ht="14.25">
      <c r="B7" s="255"/>
      <c r="C7" s="255"/>
      <c r="D7" s="255"/>
      <c r="E7" s="255"/>
    </row>
    <row r="8" spans="2:5" ht="13.5" customHeight="1">
      <c r="B8" s="358" t="s">
        <v>18</v>
      </c>
      <c r="C8" s="358"/>
      <c r="D8" s="358"/>
      <c r="E8" s="358"/>
    </row>
    <row r="9" spans="2:5" ht="16.5" customHeight="1" thickBot="1">
      <c r="B9" s="357" t="s">
        <v>179</v>
      </c>
      <c r="C9" s="357"/>
      <c r="D9" s="357"/>
      <c r="E9" s="357"/>
    </row>
    <row r="10" spans="2:5" ht="13.5" thickBot="1">
      <c r="B10" s="256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34368672.130000003</v>
      </c>
      <c r="E11" s="258">
        <f>E12</f>
        <v>29619334.02</v>
      </c>
    </row>
    <row r="12" spans="2:5">
      <c r="B12" s="107" t="s">
        <v>4</v>
      </c>
      <c r="C12" s="6" t="s">
        <v>5</v>
      </c>
      <c r="D12" s="261">
        <v>34368672.130000003</v>
      </c>
      <c r="E12" s="262">
        <f>29638873.84-19539.82</f>
        <v>29619334.02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customHeight="1" thickBot="1">
      <c r="B21" s="362" t="s">
        <v>186</v>
      </c>
      <c r="C21" s="374"/>
      <c r="D21" s="269">
        <v>34368672.130000003</v>
      </c>
      <c r="E21" s="149">
        <f>E11-E17</f>
        <v>29619334.02</v>
      </c>
      <c r="F21" s="78"/>
    </row>
    <row r="22" spans="2:6">
      <c r="B22" s="3"/>
      <c r="C22" s="7"/>
      <c r="D22" s="8"/>
      <c r="E22" s="8"/>
    </row>
    <row r="23" spans="2:6" ht="13.5" customHeight="1">
      <c r="B23" s="358" t="s">
        <v>180</v>
      </c>
      <c r="C23" s="358"/>
      <c r="D23" s="358"/>
      <c r="E23" s="358"/>
    </row>
    <row r="24" spans="2:6" ht="15.75" customHeight="1" thickBot="1">
      <c r="B24" s="357" t="s">
        <v>181</v>
      </c>
      <c r="C24" s="357"/>
      <c r="D24" s="357"/>
      <c r="E24" s="357"/>
    </row>
    <row r="25" spans="2:6" ht="13.5" thickBot="1">
      <c r="B25" s="256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34008985.719999999</v>
      </c>
      <c r="E26" s="232">
        <f>D21</f>
        <v>34368672.130000003</v>
      </c>
    </row>
    <row r="27" spans="2:6">
      <c r="B27" s="9" t="s">
        <v>17</v>
      </c>
      <c r="C27" s="10" t="s">
        <v>187</v>
      </c>
      <c r="D27" s="201">
        <v>-3155870.38</v>
      </c>
      <c r="E27" s="225">
        <f>E28-E32</f>
        <v>-649480.56999999983</v>
      </c>
      <c r="F27" s="72"/>
    </row>
    <row r="28" spans="2:6">
      <c r="B28" s="9" t="s">
        <v>18</v>
      </c>
      <c r="C28" s="10" t="s">
        <v>19</v>
      </c>
      <c r="D28" s="201">
        <v>3253310.8</v>
      </c>
      <c r="E28" s="226">
        <f>E29+E30+E31</f>
        <v>2870191.35</v>
      </c>
      <c r="F28" s="72"/>
    </row>
    <row r="29" spans="2:6">
      <c r="B29" s="105" t="s">
        <v>4</v>
      </c>
      <c r="C29" s="6" t="s">
        <v>20</v>
      </c>
      <c r="D29" s="202">
        <v>3253310.8</v>
      </c>
      <c r="E29" s="227">
        <v>2870191.35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6409181.1799999997</v>
      </c>
      <c r="E32" s="226">
        <f>E33+E35+E37+E39</f>
        <v>3519671.92</v>
      </c>
      <c r="F32" s="72"/>
    </row>
    <row r="33" spans="2:6">
      <c r="B33" s="105" t="s">
        <v>4</v>
      </c>
      <c r="C33" s="6" t="s">
        <v>25</v>
      </c>
      <c r="D33" s="202">
        <v>6409181.1799999997</v>
      </c>
      <c r="E33" s="227">
        <v>3519671.92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/>
      <c r="E35" s="227"/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3515556.79</v>
      </c>
      <c r="E40" s="233">
        <v>-4099857.54</v>
      </c>
    </row>
    <row r="41" spans="2:6" ht="13.5" thickBot="1">
      <c r="B41" s="100" t="s">
        <v>37</v>
      </c>
      <c r="C41" s="101" t="s">
        <v>38</v>
      </c>
      <c r="D41" s="205">
        <v>34368672.130000003</v>
      </c>
      <c r="E41" s="149">
        <f>E26+E27+E40</f>
        <v>29619334.020000003</v>
      </c>
      <c r="F41" s="78"/>
    </row>
    <row r="42" spans="2:6">
      <c r="B42" s="94"/>
      <c r="C42" s="94"/>
      <c r="D42" s="95"/>
      <c r="E42" s="95"/>
      <c r="F42" s="78"/>
    </row>
    <row r="43" spans="2:6" ht="13.5" customHeight="1">
      <c r="B43" s="359" t="s">
        <v>60</v>
      </c>
      <c r="C43" s="359"/>
      <c r="D43" s="359"/>
      <c r="E43" s="359"/>
    </row>
    <row r="44" spans="2:6" ht="18" customHeight="1" thickBot="1">
      <c r="B44" s="357" t="s">
        <v>204</v>
      </c>
      <c r="C44" s="357"/>
      <c r="D44" s="357"/>
      <c r="E44" s="357"/>
    </row>
    <row r="45" spans="2:6" ht="13.5" thickBot="1">
      <c r="B45" s="256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704661.04854999995</v>
      </c>
      <c r="E47" s="150">
        <v>641234.08522999997</v>
      </c>
    </row>
    <row r="48" spans="2:6">
      <c r="B48" s="124" t="s">
        <v>6</v>
      </c>
      <c r="C48" s="22" t="s">
        <v>41</v>
      </c>
      <c r="D48" s="207">
        <v>641234.08522999997</v>
      </c>
      <c r="E48" s="150">
        <v>628289.66501999996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48.262900000000002</v>
      </c>
      <c r="E50" s="150">
        <v>53.597700000000003</v>
      </c>
    </row>
    <row r="51" spans="2:5">
      <c r="B51" s="103" t="s">
        <v>6</v>
      </c>
      <c r="C51" s="15" t="s">
        <v>190</v>
      </c>
      <c r="D51" s="209">
        <v>47.616399999999999</v>
      </c>
      <c r="E51" s="150">
        <v>45.7029</v>
      </c>
    </row>
    <row r="52" spans="2:5">
      <c r="B52" s="103" t="s">
        <v>8</v>
      </c>
      <c r="C52" s="15" t="s">
        <v>191</v>
      </c>
      <c r="D52" s="209">
        <v>54.248100000000001</v>
      </c>
      <c r="E52" s="76">
        <v>57.401200000000003</v>
      </c>
    </row>
    <row r="53" spans="2:5" ht="13.5" customHeight="1" thickBot="1">
      <c r="B53" s="104" t="s">
        <v>9</v>
      </c>
      <c r="C53" s="17" t="s">
        <v>41</v>
      </c>
      <c r="D53" s="210">
        <v>53.597700000000003</v>
      </c>
      <c r="E53" s="234">
        <v>47.142800000000001</v>
      </c>
    </row>
    <row r="54" spans="2:5">
      <c r="B54" s="110"/>
      <c r="C54" s="111"/>
      <c r="D54" s="112"/>
      <c r="E54" s="112"/>
    </row>
    <row r="55" spans="2:5" ht="13.5" customHeight="1">
      <c r="B55" s="359" t="s">
        <v>62</v>
      </c>
      <c r="C55" s="359"/>
      <c r="D55" s="359"/>
      <c r="E55" s="359"/>
    </row>
    <row r="56" spans="2:5" ht="15.75" customHeight="1" thickBot="1">
      <c r="B56" s="357" t="s">
        <v>192</v>
      </c>
      <c r="C56" s="357"/>
      <c r="D56" s="357"/>
      <c r="E56" s="357"/>
    </row>
    <row r="57" spans="2:5" ht="23.25" customHeight="1" thickBot="1">
      <c r="B57" s="372" t="s">
        <v>42</v>
      </c>
      <c r="C57" s="37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29619334.02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29619334.02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29619334.02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29619334.02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81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28695907.140000001</v>
      </c>
      <c r="E11" s="258">
        <f>E12</f>
        <v>23196988.809999999</v>
      </c>
    </row>
    <row r="12" spans="2:5">
      <c r="B12" s="173" t="s">
        <v>4</v>
      </c>
      <c r="C12" s="174" t="s">
        <v>5</v>
      </c>
      <c r="D12" s="261">
        <v>28695907.140000001</v>
      </c>
      <c r="E12" s="262">
        <v>23196988.809999999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28695907.140000001</v>
      </c>
      <c r="E21" s="149">
        <f>E11-E17</f>
        <v>23196988.809999999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171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26704290.920000002</v>
      </c>
      <c r="E26" s="232">
        <f>D21</f>
        <v>28695907.140000001</v>
      </c>
    </row>
    <row r="27" spans="2:6">
      <c r="B27" s="9" t="s">
        <v>17</v>
      </c>
      <c r="C27" s="10" t="s">
        <v>187</v>
      </c>
      <c r="D27" s="201">
        <v>-2653590.8499999996</v>
      </c>
      <c r="E27" s="225">
        <f>E28-E32</f>
        <v>-1333829.1400000001</v>
      </c>
      <c r="F27" s="72"/>
    </row>
    <row r="28" spans="2:6">
      <c r="B28" s="9" t="s">
        <v>18</v>
      </c>
      <c r="C28" s="10" t="s">
        <v>19</v>
      </c>
      <c r="D28" s="201">
        <v>2807186.54</v>
      </c>
      <c r="E28" s="226">
        <f>E29+E30+E31</f>
        <v>2382796.69</v>
      </c>
      <c r="F28" s="72"/>
    </row>
    <row r="29" spans="2:6">
      <c r="B29" s="181" t="s">
        <v>4</v>
      </c>
      <c r="C29" s="174" t="s">
        <v>20</v>
      </c>
      <c r="D29" s="202">
        <v>2807186.54</v>
      </c>
      <c r="E29" s="227">
        <v>2382796.69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5460777.3899999997</v>
      </c>
      <c r="E32" s="226">
        <f>E33+E35+E37+E39</f>
        <v>3716625.83</v>
      </c>
      <c r="F32" s="72"/>
    </row>
    <row r="33" spans="2:6">
      <c r="B33" s="181" t="s">
        <v>4</v>
      </c>
      <c r="C33" s="174" t="s">
        <v>25</v>
      </c>
      <c r="D33" s="202">
        <v>5460777.3899999997</v>
      </c>
      <c r="E33" s="227">
        <v>3716625.83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4645207.07</v>
      </c>
      <c r="E40" s="233">
        <v>-4165089.19</v>
      </c>
    </row>
    <row r="41" spans="2:6" ht="13.5" thickBot="1">
      <c r="B41" s="100" t="s">
        <v>37</v>
      </c>
      <c r="C41" s="101" t="s">
        <v>38</v>
      </c>
      <c r="D41" s="205">
        <v>28695907.140000001</v>
      </c>
      <c r="E41" s="149">
        <f>E26+E27+E40</f>
        <v>23196988.809999999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8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1370680.9146</v>
      </c>
      <c r="E47" s="150">
        <v>1243231.9602000001</v>
      </c>
    </row>
    <row r="48" spans="2:6">
      <c r="B48" s="124" t="s">
        <v>6</v>
      </c>
      <c r="C48" s="22" t="s">
        <v>41</v>
      </c>
      <c r="D48" s="207">
        <v>1243231.9602000001</v>
      </c>
      <c r="E48" s="150">
        <v>1180923.0116000001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19.482500000000002</v>
      </c>
      <c r="E50" s="150">
        <v>23.081700000000001</v>
      </c>
    </row>
    <row r="51" spans="2:5">
      <c r="B51" s="103" t="s">
        <v>6</v>
      </c>
      <c r="C51" s="15" t="s">
        <v>190</v>
      </c>
      <c r="D51" s="209">
        <v>18.802</v>
      </c>
      <c r="E51" s="150">
        <v>18.7941</v>
      </c>
    </row>
    <row r="52" spans="2:5">
      <c r="B52" s="103" t="s">
        <v>8</v>
      </c>
      <c r="C52" s="15" t="s">
        <v>191</v>
      </c>
      <c r="D52" s="209">
        <v>23.396999999999998</v>
      </c>
      <c r="E52" s="76">
        <v>24.869499999999999</v>
      </c>
    </row>
    <row r="53" spans="2:5" ht="12.75" customHeight="1" thickBot="1">
      <c r="B53" s="104" t="s">
        <v>9</v>
      </c>
      <c r="C53" s="17" t="s">
        <v>41</v>
      </c>
      <c r="D53" s="210">
        <v>23.081700000000001</v>
      </c>
      <c r="E53" s="234">
        <v>19.6431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23196988.809999999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23196988.809999999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23196988.809999999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23196988.809999999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82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21615083.59</v>
      </c>
      <c r="E11" s="258">
        <f>E12</f>
        <v>17650084.16</v>
      </c>
    </row>
    <row r="12" spans="2:5">
      <c r="B12" s="107" t="s">
        <v>4</v>
      </c>
      <c r="C12" s="6" t="s">
        <v>5</v>
      </c>
      <c r="D12" s="261">
        <v>21615083.59</v>
      </c>
      <c r="E12" s="262">
        <v>17650084.16</v>
      </c>
    </row>
    <row r="13" spans="2:5">
      <c r="B13" s="107" t="s">
        <v>6</v>
      </c>
      <c r="C13" s="69" t="s">
        <v>7</v>
      </c>
      <c r="D13" s="261"/>
      <c r="E13" s="262"/>
    </row>
    <row r="14" spans="2:5">
      <c r="B14" s="107" t="s">
        <v>8</v>
      </c>
      <c r="C14" s="69" t="s">
        <v>10</v>
      </c>
      <c r="D14" s="261"/>
      <c r="E14" s="262"/>
    </row>
    <row r="15" spans="2:5">
      <c r="B15" s="107" t="s">
        <v>182</v>
      </c>
      <c r="C15" s="69" t="s">
        <v>11</v>
      </c>
      <c r="D15" s="261"/>
      <c r="E15" s="262"/>
    </row>
    <row r="16" spans="2:5">
      <c r="B16" s="108" t="s">
        <v>183</v>
      </c>
      <c r="C16" s="92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07" t="s">
        <v>4</v>
      </c>
      <c r="C18" s="6" t="s">
        <v>11</v>
      </c>
      <c r="D18" s="261"/>
      <c r="E18" s="264"/>
    </row>
    <row r="19" spans="2:6" ht="15" customHeight="1">
      <c r="B19" s="107" t="s">
        <v>6</v>
      </c>
      <c r="C19" s="69" t="s">
        <v>184</v>
      </c>
      <c r="D19" s="261"/>
      <c r="E19" s="262"/>
    </row>
    <row r="20" spans="2:6" ht="13.5" thickBot="1">
      <c r="B20" s="109" t="s">
        <v>8</v>
      </c>
      <c r="C20" s="70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21615083.59</v>
      </c>
      <c r="E21" s="149">
        <f>E11-E17</f>
        <v>17650084.16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6"/>
      <c r="D23" s="366"/>
      <c r="E23" s="366"/>
    </row>
    <row r="24" spans="2:6" ht="15.75" customHeight="1" thickBot="1">
      <c r="B24" s="357" t="s">
        <v>181</v>
      </c>
      <c r="C24" s="367"/>
      <c r="D24" s="367"/>
      <c r="E24" s="367"/>
    </row>
    <row r="25" spans="2:6" ht="13.5" thickBot="1">
      <c r="B25" s="138"/>
      <c r="C25" s="5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19603568.07</v>
      </c>
      <c r="E26" s="232">
        <f>D21</f>
        <v>21615083.59</v>
      </c>
    </row>
    <row r="27" spans="2:6">
      <c r="B27" s="9" t="s">
        <v>17</v>
      </c>
      <c r="C27" s="10" t="s">
        <v>187</v>
      </c>
      <c r="D27" s="201">
        <v>-1486881.0499999998</v>
      </c>
      <c r="E27" s="225">
        <f>E28-E32</f>
        <v>-864786.28</v>
      </c>
      <c r="F27" s="72"/>
    </row>
    <row r="28" spans="2:6">
      <c r="B28" s="9" t="s">
        <v>18</v>
      </c>
      <c r="C28" s="10" t="s">
        <v>19</v>
      </c>
      <c r="D28" s="201">
        <v>2132705.5</v>
      </c>
      <c r="E28" s="226">
        <f>E29+E30+E31</f>
        <v>1851384.89</v>
      </c>
      <c r="F28" s="72"/>
    </row>
    <row r="29" spans="2:6">
      <c r="B29" s="105" t="s">
        <v>4</v>
      </c>
      <c r="C29" s="6" t="s">
        <v>20</v>
      </c>
      <c r="D29" s="202">
        <v>2132705.5</v>
      </c>
      <c r="E29" s="227">
        <v>1851384.89</v>
      </c>
      <c r="F29" s="72"/>
    </row>
    <row r="30" spans="2:6">
      <c r="B30" s="105" t="s">
        <v>6</v>
      </c>
      <c r="C30" s="6" t="s">
        <v>21</v>
      </c>
      <c r="D30" s="202"/>
      <c r="E30" s="227"/>
      <c r="F30" s="72"/>
    </row>
    <row r="31" spans="2:6">
      <c r="B31" s="105" t="s">
        <v>8</v>
      </c>
      <c r="C31" s="6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3619586.55</v>
      </c>
      <c r="E32" s="226">
        <f>E33+E35+E37+E39</f>
        <v>2716171.17</v>
      </c>
      <c r="F32" s="72"/>
    </row>
    <row r="33" spans="2:6">
      <c r="B33" s="105" t="s">
        <v>4</v>
      </c>
      <c r="C33" s="6" t="s">
        <v>25</v>
      </c>
      <c r="D33" s="202">
        <v>3619586.55</v>
      </c>
      <c r="E33" s="227">
        <v>2716171.17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/>
      <c r="E35" s="227"/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3498396.57</v>
      </c>
      <c r="E40" s="233">
        <v>-3100213.15</v>
      </c>
    </row>
    <row r="41" spans="2:6" ht="13.5" thickBot="1">
      <c r="B41" s="100" t="s">
        <v>37</v>
      </c>
      <c r="C41" s="101" t="s">
        <v>38</v>
      </c>
      <c r="D41" s="205">
        <v>21615083.59</v>
      </c>
      <c r="E41" s="149">
        <f>E26+E27+E40</f>
        <v>17650084.16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8" customHeight="1" thickBot="1">
      <c r="B44" s="357" t="s">
        <v>204</v>
      </c>
      <c r="C44" s="361"/>
      <c r="D44" s="361"/>
      <c r="E44" s="361"/>
    </row>
    <row r="45" spans="2:6" ht="13.5" thickBot="1">
      <c r="B45" s="138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03" t="s">
        <v>4</v>
      </c>
      <c r="C47" s="15" t="s">
        <v>40</v>
      </c>
      <c r="D47" s="206">
        <v>1082633.4169099999</v>
      </c>
      <c r="E47" s="150">
        <v>1006106.1348999999</v>
      </c>
    </row>
    <row r="48" spans="2:6">
      <c r="B48" s="124" t="s">
        <v>6</v>
      </c>
      <c r="C48" s="22" t="s">
        <v>41</v>
      </c>
      <c r="D48" s="207">
        <v>1006106.1348999999</v>
      </c>
      <c r="E48" s="150">
        <v>961663.54249999998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03" t="s">
        <v>4</v>
      </c>
      <c r="C50" s="15" t="s">
        <v>40</v>
      </c>
      <c r="D50" s="206">
        <v>18.107299999999999</v>
      </c>
      <c r="E50" s="150">
        <v>21.483899999999998</v>
      </c>
    </row>
    <row r="51" spans="2:5">
      <c r="B51" s="103" t="s">
        <v>6</v>
      </c>
      <c r="C51" s="15" t="s">
        <v>190</v>
      </c>
      <c r="D51" s="209">
        <v>17.462800000000001</v>
      </c>
      <c r="E51" s="150">
        <v>17.5746</v>
      </c>
    </row>
    <row r="52" spans="2:5">
      <c r="B52" s="103" t="s">
        <v>8</v>
      </c>
      <c r="C52" s="15" t="s">
        <v>191</v>
      </c>
      <c r="D52" s="209">
        <v>21.781099999999999</v>
      </c>
      <c r="E52" s="76">
        <v>23.139600000000002</v>
      </c>
    </row>
    <row r="53" spans="2:5" ht="13.5" customHeight="1" thickBot="1">
      <c r="B53" s="104" t="s">
        <v>9</v>
      </c>
      <c r="C53" s="17" t="s">
        <v>41</v>
      </c>
      <c r="D53" s="210">
        <v>21.483899999999998</v>
      </c>
      <c r="E53" s="234">
        <v>18.3537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4.25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17650084.16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17650084.16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17650084.16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17650084.16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F81"/>
  <sheetViews>
    <sheetView zoomScale="80" zoomScaleNormal="80" workbookViewId="0">
      <selection activeCell="J18" sqref="J1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83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25471190.969999999</v>
      </c>
      <c r="E11" s="258">
        <f>E12</f>
        <v>21472235.779999997</v>
      </c>
    </row>
    <row r="12" spans="2:5">
      <c r="B12" s="173" t="s">
        <v>4</v>
      </c>
      <c r="C12" s="174" t="s">
        <v>5</v>
      </c>
      <c r="D12" s="261">
        <v>25471190.969999999</v>
      </c>
      <c r="E12" s="262">
        <f>21502555.04-30319.26</f>
        <v>21472235.779999997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25471190.969999999</v>
      </c>
      <c r="E21" s="149">
        <f>E11</f>
        <v>21472235.779999997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23806378.309999999</v>
      </c>
      <c r="E26" s="232">
        <f>D21</f>
        <v>25471190.969999999</v>
      </c>
    </row>
    <row r="27" spans="2:6">
      <c r="B27" s="9" t="s">
        <v>17</v>
      </c>
      <c r="C27" s="10" t="s">
        <v>187</v>
      </c>
      <c r="D27" s="201">
        <v>-1550481.65</v>
      </c>
      <c r="E27" s="225">
        <f>E28-E32</f>
        <v>-1096619.4700000002</v>
      </c>
      <c r="F27" s="72"/>
    </row>
    <row r="28" spans="2:6">
      <c r="B28" s="9" t="s">
        <v>18</v>
      </c>
      <c r="C28" s="10" t="s">
        <v>19</v>
      </c>
      <c r="D28" s="201">
        <v>2641989.37</v>
      </c>
      <c r="E28" s="226">
        <f>E29+E30+E31</f>
        <v>2265830.15</v>
      </c>
      <c r="F28" s="72"/>
    </row>
    <row r="29" spans="2:6">
      <c r="B29" s="181" t="s">
        <v>4</v>
      </c>
      <c r="C29" s="174" t="s">
        <v>20</v>
      </c>
      <c r="D29" s="202">
        <v>2641989.37</v>
      </c>
      <c r="E29" s="227">
        <v>2265830.15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4192471.02</v>
      </c>
      <c r="E32" s="226">
        <f>E33+E35+E37+E39</f>
        <v>3362449.62</v>
      </c>
      <c r="F32" s="72"/>
    </row>
    <row r="33" spans="2:6">
      <c r="B33" s="181" t="s">
        <v>4</v>
      </c>
      <c r="C33" s="174" t="s">
        <v>25</v>
      </c>
      <c r="D33" s="202">
        <v>4192471.02</v>
      </c>
      <c r="E33" s="227">
        <v>3362449.62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/>
      <c r="E35" s="227"/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/>
      <c r="E37" s="227"/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3215294.31</v>
      </c>
      <c r="E40" s="233">
        <v>-2902335.72</v>
      </c>
    </row>
    <row r="41" spans="2:6" ht="13.5" thickBot="1">
      <c r="B41" s="100" t="s">
        <v>37</v>
      </c>
      <c r="C41" s="101" t="s">
        <v>38</v>
      </c>
      <c r="D41" s="205">
        <v>25471190.969999999</v>
      </c>
      <c r="E41" s="149">
        <f>E26+E27+E40</f>
        <v>21472235.780000001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339">
        <v>1249265.5083000001</v>
      </c>
      <c r="E47" s="150">
        <v>1172107.7614</v>
      </c>
    </row>
    <row r="48" spans="2:6">
      <c r="B48" s="186" t="s">
        <v>6</v>
      </c>
      <c r="C48" s="187" t="s">
        <v>41</v>
      </c>
      <c r="D48" s="340">
        <v>1172107.7614</v>
      </c>
      <c r="E48" s="150">
        <v>1117798.3581000001</v>
      </c>
    </row>
    <row r="49" spans="2:5">
      <c r="B49" s="121" t="s">
        <v>23</v>
      </c>
      <c r="C49" s="125" t="s">
        <v>189</v>
      </c>
      <c r="D49" s="341"/>
      <c r="E49" s="150"/>
    </row>
    <row r="50" spans="2:5">
      <c r="B50" s="184" t="s">
        <v>4</v>
      </c>
      <c r="C50" s="185" t="s">
        <v>40</v>
      </c>
      <c r="D50" s="340">
        <v>19.0563</v>
      </c>
      <c r="E50" s="150">
        <v>21.731100000000001</v>
      </c>
    </row>
    <row r="51" spans="2:5">
      <c r="B51" s="184" t="s">
        <v>6</v>
      </c>
      <c r="C51" s="185" t="s">
        <v>190</v>
      </c>
      <c r="D51" s="340">
        <v>18.3705</v>
      </c>
      <c r="E51" s="76">
        <v>18.363199999999999</v>
      </c>
    </row>
    <row r="52" spans="2:5">
      <c r="B52" s="184" t="s">
        <v>8</v>
      </c>
      <c r="C52" s="185" t="s">
        <v>191</v>
      </c>
      <c r="D52" s="340">
        <v>22.576000000000001</v>
      </c>
      <c r="E52" s="76">
        <v>23.476800000000001</v>
      </c>
    </row>
    <row r="53" spans="2:5" ht="13.5" customHeight="1" thickBot="1">
      <c r="B53" s="188" t="s">
        <v>9</v>
      </c>
      <c r="C53" s="189" t="s">
        <v>41</v>
      </c>
      <c r="D53" s="342">
        <v>21.731100000000001</v>
      </c>
      <c r="E53" s="234">
        <v>19.209399999999999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21472235.779999997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21472235.779999997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21472235.779999997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v>0</v>
      </c>
      <c r="E75" s="80">
        <v>0</v>
      </c>
    </row>
    <row r="76" spans="2:5">
      <c r="B76" s="103" t="s">
        <v>6</v>
      </c>
      <c r="C76" s="15" t="s">
        <v>195</v>
      </c>
      <c r="D76" s="79">
        <f>D74</f>
        <v>21472235.779999997</v>
      </c>
      <c r="E76" s="80">
        <f>E74</f>
        <v>1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168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4431798.95</v>
      </c>
      <c r="E11" s="258">
        <f>E12</f>
        <v>2352660.69</v>
      </c>
    </row>
    <row r="12" spans="2:5">
      <c r="B12" s="173" t="s">
        <v>4</v>
      </c>
      <c r="C12" s="174" t="s">
        <v>5</v>
      </c>
      <c r="D12" s="261">
        <v>4431798.95</v>
      </c>
      <c r="E12" s="262">
        <v>2352660.69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4431798.95</v>
      </c>
      <c r="E21" s="149">
        <f>E11</f>
        <v>2352660.69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1772445.02</v>
      </c>
      <c r="E26" s="232">
        <f>D21</f>
        <v>4431798.95</v>
      </c>
    </row>
    <row r="27" spans="2:6">
      <c r="B27" s="9" t="s">
        <v>17</v>
      </c>
      <c r="C27" s="10" t="s">
        <v>187</v>
      </c>
      <c r="D27" s="201">
        <v>2246739.4599999995</v>
      </c>
      <c r="E27" s="225">
        <f>E28-E32</f>
        <v>-1487278.53</v>
      </c>
      <c r="F27" s="72"/>
    </row>
    <row r="28" spans="2:6">
      <c r="B28" s="9" t="s">
        <v>18</v>
      </c>
      <c r="C28" s="10" t="s">
        <v>19</v>
      </c>
      <c r="D28" s="201">
        <v>3726089.1599999997</v>
      </c>
      <c r="E28" s="226">
        <f>E29+E30+E31</f>
        <v>21919.47</v>
      </c>
      <c r="F28" s="72"/>
    </row>
    <row r="29" spans="2:6">
      <c r="B29" s="181" t="s">
        <v>4</v>
      </c>
      <c r="C29" s="174" t="s">
        <v>20</v>
      </c>
      <c r="D29" s="202">
        <v>18215.59</v>
      </c>
      <c r="E29" s="227">
        <v>21919.47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3707873.57</v>
      </c>
      <c r="E31" s="227"/>
      <c r="F31" s="72"/>
    </row>
    <row r="32" spans="2:6">
      <c r="B32" s="93" t="s">
        <v>23</v>
      </c>
      <c r="C32" s="11" t="s">
        <v>24</v>
      </c>
      <c r="D32" s="201">
        <v>1479349.7000000002</v>
      </c>
      <c r="E32" s="226">
        <f>E33+E35+E37+E39</f>
        <v>1509198</v>
      </c>
      <c r="F32" s="72"/>
    </row>
    <row r="33" spans="2:6">
      <c r="B33" s="181" t="s">
        <v>4</v>
      </c>
      <c r="C33" s="174" t="s">
        <v>25</v>
      </c>
      <c r="D33" s="202">
        <v>1131574</v>
      </c>
      <c r="E33" s="227">
        <v>1285398.5900000001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7739.54</v>
      </c>
      <c r="E35" s="227">
        <v>10251.74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52596.82</v>
      </c>
      <c r="E37" s="227">
        <v>56994.38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287439.34000000003</v>
      </c>
      <c r="E39" s="228">
        <v>156553.29</v>
      </c>
      <c r="F39" s="72"/>
    </row>
    <row r="40" spans="2:6" ht="13.5" thickBot="1">
      <c r="B40" s="98" t="s">
        <v>35</v>
      </c>
      <c r="C40" s="99" t="s">
        <v>36</v>
      </c>
      <c r="D40" s="204">
        <v>412614.47</v>
      </c>
      <c r="E40" s="233">
        <v>-591859.73</v>
      </c>
    </row>
    <row r="41" spans="2:6" ht="13.5" thickBot="1">
      <c r="B41" s="100" t="s">
        <v>37</v>
      </c>
      <c r="C41" s="101" t="s">
        <v>38</v>
      </c>
      <c r="D41" s="205">
        <v>4431798.9499999993</v>
      </c>
      <c r="E41" s="149">
        <f>E26+E27+E40</f>
        <v>2352660.69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6025.0357700000004</v>
      </c>
      <c r="E47" s="150">
        <v>12651.438630000001</v>
      </c>
    </row>
    <row r="48" spans="2:6">
      <c r="B48" s="186" t="s">
        <v>6</v>
      </c>
      <c r="C48" s="187" t="s">
        <v>41</v>
      </c>
      <c r="D48" s="207">
        <v>12651.438630000001</v>
      </c>
      <c r="E48" s="150">
        <v>7814.0716000000002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294.18</v>
      </c>
      <c r="E50" s="150">
        <v>350.3</v>
      </c>
    </row>
    <row r="51" spans="2:5">
      <c r="B51" s="184" t="s">
        <v>6</v>
      </c>
      <c r="C51" s="185" t="s">
        <v>190</v>
      </c>
      <c r="D51" s="209">
        <v>294.18</v>
      </c>
      <c r="E51" s="76">
        <v>286.93</v>
      </c>
    </row>
    <row r="52" spans="2:5">
      <c r="B52" s="184" t="s">
        <v>8</v>
      </c>
      <c r="C52" s="185" t="s">
        <v>191</v>
      </c>
      <c r="D52" s="209">
        <v>362.41</v>
      </c>
      <c r="E52" s="76">
        <v>371.03</v>
      </c>
    </row>
    <row r="53" spans="2:5" ht="13.5" customHeight="1" thickBot="1">
      <c r="B53" s="188" t="s">
        <v>9</v>
      </c>
      <c r="C53" s="189" t="s">
        <v>41</v>
      </c>
      <c r="D53" s="210">
        <v>350.3</v>
      </c>
      <c r="E53" s="234">
        <v>301.08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2352660.69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2352660.69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2352660.69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2352660.69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169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881620.21</v>
      </c>
      <c r="E11" s="258">
        <f>E12</f>
        <v>830081.62</v>
      </c>
    </row>
    <row r="12" spans="2:5">
      <c r="B12" s="173" t="s">
        <v>4</v>
      </c>
      <c r="C12" s="174" t="s">
        <v>5</v>
      </c>
      <c r="D12" s="261">
        <v>881620.21</v>
      </c>
      <c r="E12" s="262">
        <v>830081.62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881620.21</v>
      </c>
      <c r="E21" s="149">
        <f>E11</f>
        <v>830081.62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1551458.15</v>
      </c>
      <c r="E26" s="232">
        <f>D21</f>
        <v>881620.21</v>
      </c>
    </row>
    <row r="27" spans="2:6">
      <c r="B27" s="9" t="s">
        <v>17</v>
      </c>
      <c r="C27" s="10" t="s">
        <v>187</v>
      </c>
      <c r="D27" s="201">
        <v>-722347.41999999993</v>
      </c>
      <c r="E27" s="225">
        <f>E28-E32</f>
        <v>-81918.430000000168</v>
      </c>
      <c r="F27" s="72"/>
    </row>
    <row r="28" spans="2:6">
      <c r="B28" s="9" t="s">
        <v>18</v>
      </c>
      <c r="C28" s="10" t="s">
        <v>19</v>
      </c>
      <c r="D28" s="201">
        <v>114666.78</v>
      </c>
      <c r="E28" s="226">
        <f>E29+E30+E31</f>
        <v>618430.17999999993</v>
      </c>
      <c r="F28" s="72"/>
    </row>
    <row r="29" spans="2:6">
      <c r="B29" s="181" t="s">
        <v>4</v>
      </c>
      <c r="C29" s="174" t="s">
        <v>20</v>
      </c>
      <c r="D29" s="202">
        <v>9937.01</v>
      </c>
      <c r="E29" s="227">
        <v>12258.19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104729.77</v>
      </c>
      <c r="E31" s="227">
        <v>606171.99</v>
      </c>
      <c r="F31" s="72"/>
    </row>
    <row r="32" spans="2:6">
      <c r="B32" s="93" t="s">
        <v>23</v>
      </c>
      <c r="C32" s="11" t="s">
        <v>24</v>
      </c>
      <c r="D32" s="201">
        <v>837014.2</v>
      </c>
      <c r="E32" s="226">
        <f>E33+E35+E37+E39</f>
        <v>700348.6100000001</v>
      </c>
      <c r="F32" s="72"/>
    </row>
    <row r="33" spans="2:6">
      <c r="B33" s="181" t="s">
        <v>4</v>
      </c>
      <c r="C33" s="174" t="s">
        <v>25</v>
      </c>
      <c r="D33" s="202">
        <v>184225.14</v>
      </c>
      <c r="E33" s="227">
        <v>57675.1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2747.3</v>
      </c>
      <c r="E35" s="227">
        <v>4456.3599999999997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19171.810000000001</v>
      </c>
      <c r="E37" s="227">
        <v>15872.61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630869.94999999995</v>
      </c>
      <c r="E39" s="228">
        <v>622344.54</v>
      </c>
      <c r="F39" s="72"/>
    </row>
    <row r="40" spans="2:6" ht="13.5" thickBot="1">
      <c r="B40" s="98" t="s">
        <v>35</v>
      </c>
      <c r="C40" s="99" t="s">
        <v>36</v>
      </c>
      <c r="D40" s="204">
        <v>52509.48</v>
      </c>
      <c r="E40" s="233">
        <v>30379.84</v>
      </c>
    </row>
    <row r="41" spans="2:6" ht="13.5" thickBot="1">
      <c r="B41" s="100" t="s">
        <v>37</v>
      </c>
      <c r="C41" s="101" t="s">
        <v>38</v>
      </c>
      <c r="D41" s="205">
        <v>881620.21</v>
      </c>
      <c r="E41" s="149">
        <f>E26+E27+E40</f>
        <v>830081.61999999976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5400.1328000000003</v>
      </c>
      <c r="E47" s="150">
        <v>2932.2830199999999</v>
      </c>
    </row>
    <row r="48" spans="2:6">
      <c r="B48" s="186" t="s">
        <v>6</v>
      </c>
      <c r="C48" s="187" t="s">
        <v>41</v>
      </c>
      <c r="D48" s="207">
        <v>2932.2830199999999</v>
      </c>
      <c r="E48" s="150">
        <v>2669.4160999999999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287.3</v>
      </c>
      <c r="E50" s="150">
        <v>300.66000000000003</v>
      </c>
    </row>
    <row r="51" spans="2:5">
      <c r="B51" s="184" t="s">
        <v>6</v>
      </c>
      <c r="C51" s="185" t="s">
        <v>190</v>
      </c>
      <c r="D51" s="209">
        <v>285.70999999999998</v>
      </c>
      <c r="E51" s="76">
        <v>300.51</v>
      </c>
    </row>
    <row r="52" spans="2:5">
      <c r="B52" s="184" t="s">
        <v>8</v>
      </c>
      <c r="C52" s="185" t="s">
        <v>191</v>
      </c>
      <c r="D52" s="209">
        <v>301.81</v>
      </c>
      <c r="E52" s="76">
        <v>310.95999999999998</v>
      </c>
    </row>
    <row r="53" spans="2:5" ht="12.75" customHeight="1" thickBot="1">
      <c r="B53" s="188" t="s">
        <v>9</v>
      </c>
      <c r="C53" s="189" t="s">
        <v>41</v>
      </c>
      <c r="D53" s="210">
        <v>300.66000000000003</v>
      </c>
      <c r="E53" s="234">
        <v>310.95999999999998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830081.62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830081.62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830081.62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830081.62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81"/>
  <sheetViews>
    <sheetView zoomScale="80" zoomScaleNormal="80" workbookViewId="0">
      <selection activeCell="J30" sqref="J3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6" customWidth="1"/>
    <col min="8" max="8" width="12.42578125" customWidth="1"/>
  </cols>
  <sheetData>
    <row r="1" spans="2:8">
      <c r="B1" s="1"/>
      <c r="C1" s="1"/>
      <c r="D1" s="2"/>
      <c r="E1" s="2"/>
    </row>
    <row r="2" spans="2:8" ht="15.75">
      <c r="B2" s="354" t="s">
        <v>0</v>
      </c>
      <c r="C2" s="354"/>
      <c r="D2" s="354"/>
      <c r="E2" s="354"/>
      <c r="H2" s="72"/>
    </row>
    <row r="3" spans="2:8" ht="15.75">
      <c r="B3" s="354" t="s">
        <v>290</v>
      </c>
      <c r="C3" s="354"/>
      <c r="D3" s="354"/>
      <c r="E3" s="354"/>
    </row>
    <row r="4" spans="2:8" ht="15">
      <c r="B4" s="86"/>
      <c r="C4" s="86"/>
      <c r="D4" s="86"/>
      <c r="E4" s="86"/>
    </row>
    <row r="5" spans="2:8" ht="21" customHeight="1">
      <c r="B5" s="355" t="s">
        <v>1</v>
      </c>
      <c r="C5" s="355"/>
      <c r="D5" s="355"/>
      <c r="E5" s="355"/>
    </row>
    <row r="6" spans="2:8" ht="14.25">
      <c r="B6" s="356" t="s">
        <v>91</v>
      </c>
      <c r="C6" s="356"/>
      <c r="D6" s="356"/>
      <c r="E6" s="356"/>
    </row>
    <row r="7" spans="2:8" ht="14.25">
      <c r="B7" s="90"/>
      <c r="C7" s="90"/>
      <c r="D7" s="90"/>
      <c r="E7" s="90"/>
    </row>
    <row r="8" spans="2:8" ht="13.5">
      <c r="B8" s="358" t="s">
        <v>18</v>
      </c>
      <c r="C8" s="360"/>
      <c r="D8" s="360"/>
      <c r="E8" s="360"/>
    </row>
    <row r="9" spans="2:8" ht="16.5" thickBot="1">
      <c r="B9" s="357" t="s">
        <v>179</v>
      </c>
      <c r="C9" s="357"/>
      <c r="D9" s="357"/>
      <c r="E9" s="357"/>
    </row>
    <row r="10" spans="2:8" ht="13.5" thickBot="1">
      <c r="B10" s="87"/>
      <c r="C10" s="77" t="s">
        <v>2</v>
      </c>
      <c r="D10" s="71" t="s">
        <v>223</v>
      </c>
      <c r="E10" s="29" t="s">
        <v>267</v>
      </c>
    </row>
    <row r="11" spans="2:8">
      <c r="B11" s="91" t="s">
        <v>3</v>
      </c>
      <c r="C11" s="129" t="s">
        <v>185</v>
      </c>
      <c r="D11" s="257">
        <v>52289788.109999999</v>
      </c>
      <c r="E11" s="258">
        <f>E12+E13+E14</f>
        <v>59639856.25</v>
      </c>
    </row>
    <row r="12" spans="2:8">
      <c r="B12" s="107" t="s">
        <v>4</v>
      </c>
      <c r="C12" s="6" t="s">
        <v>5</v>
      </c>
      <c r="D12" s="261">
        <v>52029089.100000001</v>
      </c>
      <c r="E12" s="262">
        <f>60423625.77-971146.81</f>
        <v>59452478.960000001</v>
      </c>
    </row>
    <row r="13" spans="2:8">
      <c r="B13" s="107" t="s">
        <v>6</v>
      </c>
      <c r="C13" s="69" t="s">
        <v>7</v>
      </c>
      <c r="D13" s="261"/>
      <c r="E13" s="262"/>
    </row>
    <row r="14" spans="2:8">
      <c r="B14" s="107" t="s">
        <v>8</v>
      </c>
      <c r="C14" s="69" t="s">
        <v>10</v>
      </c>
      <c r="D14" s="261">
        <v>260699.01</v>
      </c>
      <c r="E14" s="262">
        <f>E15</f>
        <v>187377.28999999998</v>
      </c>
    </row>
    <row r="15" spans="2:8">
      <c r="B15" s="107" t="s">
        <v>182</v>
      </c>
      <c r="C15" s="69" t="s">
        <v>11</v>
      </c>
      <c r="D15" s="261">
        <v>260699.01</v>
      </c>
      <c r="E15" s="262">
        <v>187377.28999999998</v>
      </c>
    </row>
    <row r="16" spans="2:8">
      <c r="B16" s="108" t="s">
        <v>183</v>
      </c>
      <c r="C16" s="92" t="s">
        <v>12</v>
      </c>
      <c r="D16" s="263"/>
      <c r="E16" s="264"/>
    </row>
    <row r="17" spans="2:7">
      <c r="B17" s="9" t="s">
        <v>13</v>
      </c>
      <c r="C17" s="11" t="s">
        <v>65</v>
      </c>
      <c r="D17" s="296">
        <v>70961.039999999994</v>
      </c>
      <c r="E17" s="266">
        <f>SUM(E18:E19)</f>
        <v>84673.8</v>
      </c>
    </row>
    <row r="18" spans="2:7">
      <c r="B18" s="107" t="s">
        <v>4</v>
      </c>
      <c r="C18" s="6" t="s">
        <v>11</v>
      </c>
      <c r="D18" s="261">
        <v>70961.039999999994</v>
      </c>
      <c r="E18" s="306">
        <v>84673.8</v>
      </c>
    </row>
    <row r="19" spans="2:7" ht="15" customHeight="1">
      <c r="B19" s="107" t="s">
        <v>6</v>
      </c>
      <c r="C19" s="69" t="s">
        <v>184</v>
      </c>
      <c r="D19" s="261"/>
      <c r="E19" s="262"/>
    </row>
    <row r="20" spans="2:7" ht="13.5" thickBot="1">
      <c r="B20" s="109" t="s">
        <v>8</v>
      </c>
      <c r="C20" s="70" t="s">
        <v>14</v>
      </c>
      <c r="D20" s="267"/>
      <c r="E20" s="268"/>
    </row>
    <row r="21" spans="2:7" ht="13.5" thickBot="1">
      <c r="B21" s="364" t="s">
        <v>186</v>
      </c>
      <c r="C21" s="365"/>
      <c r="D21" s="269">
        <v>52218827.07</v>
      </c>
      <c r="E21" s="149">
        <f>E11-E17</f>
        <v>59555182.450000003</v>
      </c>
      <c r="F21" s="78"/>
      <c r="G21" s="68"/>
    </row>
    <row r="22" spans="2:7">
      <c r="B22" s="3"/>
      <c r="C22" s="7"/>
      <c r="D22" s="8"/>
      <c r="E22" s="8"/>
    </row>
    <row r="23" spans="2:7" ht="13.5">
      <c r="B23" s="358" t="s">
        <v>180</v>
      </c>
      <c r="C23" s="366"/>
      <c r="D23" s="366"/>
      <c r="E23" s="366"/>
    </row>
    <row r="24" spans="2:7" ht="15.75" customHeight="1" thickBot="1">
      <c r="B24" s="357" t="s">
        <v>181</v>
      </c>
      <c r="C24" s="367"/>
      <c r="D24" s="367"/>
      <c r="E24" s="367"/>
    </row>
    <row r="25" spans="2:7" ht="13.5" thickBot="1">
      <c r="B25" s="87"/>
      <c r="C25" s="5" t="s">
        <v>2</v>
      </c>
      <c r="D25" s="71" t="s">
        <v>223</v>
      </c>
      <c r="E25" s="29" t="s">
        <v>267</v>
      </c>
    </row>
    <row r="26" spans="2:7">
      <c r="B26" s="96" t="s">
        <v>15</v>
      </c>
      <c r="C26" s="97" t="s">
        <v>16</v>
      </c>
      <c r="D26" s="200">
        <v>41599814.200000003</v>
      </c>
      <c r="E26" s="232">
        <f>D21</f>
        <v>52218827.07</v>
      </c>
    </row>
    <row r="27" spans="2:7">
      <c r="B27" s="9" t="s">
        <v>17</v>
      </c>
      <c r="C27" s="10" t="s">
        <v>187</v>
      </c>
      <c r="D27" s="201">
        <v>9367003.9799999967</v>
      </c>
      <c r="E27" s="225">
        <f>E28-E32</f>
        <v>6686278.9399999995</v>
      </c>
      <c r="F27" s="72"/>
    </row>
    <row r="28" spans="2:7">
      <c r="B28" s="9" t="s">
        <v>18</v>
      </c>
      <c r="C28" s="10" t="s">
        <v>19</v>
      </c>
      <c r="D28" s="201">
        <v>19580239.939999998</v>
      </c>
      <c r="E28" s="226">
        <v>17027316.359999999</v>
      </c>
      <c r="F28" s="72"/>
    </row>
    <row r="29" spans="2:7">
      <c r="B29" s="105" t="s">
        <v>4</v>
      </c>
      <c r="C29" s="6" t="s">
        <v>20</v>
      </c>
      <c r="D29" s="202">
        <v>18733697.669999998</v>
      </c>
      <c r="E29" s="227">
        <v>16368414.25</v>
      </c>
      <c r="F29" s="72"/>
    </row>
    <row r="30" spans="2:7">
      <c r="B30" s="105" t="s">
        <v>6</v>
      </c>
      <c r="C30" s="6" t="s">
        <v>21</v>
      </c>
      <c r="D30" s="202"/>
      <c r="E30" s="227"/>
      <c r="F30" s="72"/>
    </row>
    <row r="31" spans="2:7">
      <c r="B31" s="105" t="s">
        <v>8</v>
      </c>
      <c r="C31" s="6" t="s">
        <v>22</v>
      </c>
      <c r="D31" s="202">
        <v>846542.2699999999</v>
      </c>
      <c r="E31" s="227">
        <v>658902.11</v>
      </c>
      <c r="F31" s="72"/>
    </row>
    <row r="32" spans="2:7">
      <c r="B32" s="93" t="s">
        <v>23</v>
      </c>
      <c r="C32" s="11" t="s">
        <v>24</v>
      </c>
      <c r="D32" s="201">
        <v>10213235.960000001</v>
      </c>
      <c r="E32" s="226">
        <f>SUM(E33:E39)</f>
        <v>10341037.42</v>
      </c>
      <c r="F32" s="72"/>
    </row>
    <row r="33" spans="2:6">
      <c r="B33" s="105" t="s">
        <v>4</v>
      </c>
      <c r="C33" s="6" t="s">
        <v>25</v>
      </c>
      <c r="D33" s="202">
        <v>7338992.8700000001</v>
      </c>
      <c r="E33" s="227">
        <f>7710950.24+586558.24</f>
        <v>8297508.4800000004</v>
      </c>
      <c r="F33" s="72"/>
    </row>
    <row r="34" spans="2:6">
      <c r="B34" s="105" t="s">
        <v>6</v>
      </c>
      <c r="C34" s="6" t="s">
        <v>26</v>
      </c>
      <c r="D34" s="202"/>
      <c r="E34" s="227"/>
      <c r="F34" s="72"/>
    </row>
    <row r="35" spans="2:6">
      <c r="B35" s="105" t="s">
        <v>8</v>
      </c>
      <c r="C35" s="6" t="s">
        <v>27</v>
      </c>
      <c r="D35" s="202">
        <v>1297652.8400000001</v>
      </c>
      <c r="E35" s="227">
        <v>1428130.0299999998</v>
      </c>
      <c r="F35" s="72"/>
    </row>
    <row r="36" spans="2:6">
      <c r="B36" s="105" t="s">
        <v>9</v>
      </c>
      <c r="C36" s="6" t="s">
        <v>28</v>
      </c>
      <c r="D36" s="202"/>
      <c r="E36" s="227"/>
      <c r="F36" s="72"/>
    </row>
    <row r="37" spans="2:6" ht="25.5">
      <c r="B37" s="105" t="s">
        <v>29</v>
      </c>
      <c r="C37" s="6" t="s">
        <v>30</v>
      </c>
      <c r="D37" s="202"/>
      <c r="E37" s="227"/>
      <c r="F37" s="72"/>
    </row>
    <row r="38" spans="2:6">
      <c r="B38" s="105" t="s">
        <v>31</v>
      </c>
      <c r="C38" s="6" t="s">
        <v>32</v>
      </c>
      <c r="D38" s="202"/>
      <c r="E38" s="227"/>
      <c r="F38" s="72"/>
    </row>
    <row r="39" spans="2:6">
      <c r="B39" s="106" t="s">
        <v>33</v>
      </c>
      <c r="C39" s="12" t="s">
        <v>34</v>
      </c>
      <c r="D39" s="203">
        <v>1576590.25</v>
      </c>
      <c r="E39" s="228">
        <v>615398.91</v>
      </c>
      <c r="F39" s="72"/>
    </row>
    <row r="40" spans="2:6" ht="13.5" thickBot="1">
      <c r="B40" s="98" t="s">
        <v>35</v>
      </c>
      <c r="C40" s="99" t="s">
        <v>36</v>
      </c>
      <c r="D40" s="204">
        <v>1252008.8899999999</v>
      </c>
      <c r="E40" s="233">
        <v>650076.43999999994</v>
      </c>
    </row>
    <row r="41" spans="2:6" ht="13.5" thickBot="1">
      <c r="B41" s="100" t="s">
        <v>37</v>
      </c>
      <c r="C41" s="101" t="s">
        <v>38</v>
      </c>
      <c r="D41" s="205">
        <v>52218827.07</v>
      </c>
      <c r="E41" s="149">
        <f>E26+E27+E40</f>
        <v>59555182.449999996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60"/>
      <c r="D43" s="360"/>
      <c r="E43" s="360"/>
    </row>
    <row r="44" spans="2:6" ht="17.25" customHeight="1" thickBot="1">
      <c r="B44" s="357" t="s">
        <v>204</v>
      </c>
      <c r="C44" s="361"/>
      <c r="D44" s="361"/>
      <c r="E44" s="361"/>
    </row>
    <row r="45" spans="2:6" ht="13.5" thickBot="1">
      <c r="B45" s="87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218"/>
      <c r="E46" s="28"/>
    </row>
    <row r="47" spans="2:6">
      <c r="B47" s="103" t="s">
        <v>4</v>
      </c>
      <c r="C47" s="15" t="s">
        <v>40</v>
      </c>
      <c r="D47" s="206">
        <v>3526684.0403750357</v>
      </c>
      <c r="E47" s="74">
        <v>4308518.9522000002</v>
      </c>
    </row>
    <row r="48" spans="2:6">
      <c r="B48" s="124" t="s">
        <v>6</v>
      </c>
      <c r="C48" s="22" t="s">
        <v>41</v>
      </c>
      <c r="D48" s="207">
        <v>4308518.9522000002</v>
      </c>
      <c r="E48" s="302">
        <v>4861973.9389199996</v>
      </c>
    </row>
    <row r="49" spans="2:5">
      <c r="B49" s="121" t="s">
        <v>23</v>
      </c>
      <c r="C49" s="125" t="s">
        <v>189</v>
      </c>
      <c r="D49" s="208"/>
      <c r="E49" s="126"/>
    </row>
    <row r="50" spans="2:5">
      <c r="B50" s="103" t="s">
        <v>4</v>
      </c>
      <c r="C50" s="15" t="s">
        <v>40</v>
      </c>
      <c r="D50" s="206">
        <v>11.7957304152419</v>
      </c>
      <c r="E50" s="293">
        <v>12.119901907902999</v>
      </c>
    </row>
    <row r="51" spans="2:5">
      <c r="B51" s="103" t="s">
        <v>6</v>
      </c>
      <c r="C51" s="15" t="s">
        <v>190</v>
      </c>
      <c r="D51" s="294">
        <v>11.763400000000001</v>
      </c>
      <c r="E51" s="295">
        <v>11.9504</v>
      </c>
    </row>
    <row r="52" spans="2:5" ht="12" customHeight="1">
      <c r="B52" s="103" t="s">
        <v>8</v>
      </c>
      <c r="C52" s="15" t="s">
        <v>191</v>
      </c>
      <c r="D52" s="294">
        <v>12.130100000000001</v>
      </c>
      <c r="E52" s="76">
        <v>12.2509</v>
      </c>
    </row>
    <row r="53" spans="2:5" ht="13.5" thickBot="1">
      <c r="B53" s="104" t="s">
        <v>9</v>
      </c>
      <c r="C53" s="17" t="s">
        <v>41</v>
      </c>
      <c r="D53" s="210">
        <v>12.119901907902999</v>
      </c>
      <c r="E53" s="234">
        <v>12.2491776381711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SUM(D59:D70)</f>
        <v>59452478.960000001</v>
      </c>
      <c r="E58" s="32">
        <f>D58/E21</f>
        <v>0.99827549029698248</v>
      </c>
    </row>
    <row r="59" spans="2:5" ht="25.5">
      <c r="B59" s="21" t="s">
        <v>4</v>
      </c>
      <c r="C59" s="22" t="s">
        <v>44</v>
      </c>
      <c r="D59" s="81">
        <v>0</v>
      </c>
      <c r="E59" s="82">
        <v>0</v>
      </c>
    </row>
    <row r="60" spans="2:5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5">
      <c r="B61" s="14" t="s">
        <v>8</v>
      </c>
      <c r="C61" s="15" t="s">
        <v>46</v>
      </c>
      <c r="D61" s="79">
        <v>0</v>
      </c>
      <c r="E61" s="80">
        <v>0</v>
      </c>
    </row>
    <row r="62" spans="2:5">
      <c r="B62" s="14" t="s">
        <v>9</v>
      </c>
      <c r="C62" s="15" t="s">
        <v>47</v>
      </c>
      <c r="D62" s="79">
        <v>0</v>
      </c>
      <c r="E62" s="80">
        <v>0</v>
      </c>
    </row>
    <row r="63" spans="2:5">
      <c r="B63" s="14" t="s">
        <v>29</v>
      </c>
      <c r="C63" s="15" t="s">
        <v>48</v>
      </c>
      <c r="D63" s="79">
        <v>0</v>
      </c>
      <c r="E63" s="80">
        <v>0</v>
      </c>
    </row>
    <row r="64" spans="2:5">
      <c r="B64" s="21" t="s">
        <v>31</v>
      </c>
      <c r="C64" s="22" t="s">
        <v>49</v>
      </c>
      <c r="D64" s="298">
        <f>59874040.82-971146.81</f>
        <v>58902894.009999998</v>
      </c>
      <c r="E64" s="82">
        <f>D64/E21</f>
        <v>0.98904732698035747</v>
      </c>
    </row>
    <row r="65" spans="2:5">
      <c r="B65" s="21" t="s">
        <v>33</v>
      </c>
      <c r="C65" s="22" t="s">
        <v>194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25">
        <v>549584.94999999995</v>
      </c>
      <c r="E69" s="80">
        <f>D69/E21</f>
        <v>9.2281633166250154E-3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>
      <c r="B71" s="121" t="s">
        <v>23</v>
      </c>
      <c r="C71" s="122" t="s">
        <v>61</v>
      </c>
      <c r="D71" s="123">
        <f>E13</f>
        <v>0</v>
      </c>
      <c r="E71" s="67">
        <v>0</v>
      </c>
    </row>
    <row r="72" spans="2:5">
      <c r="B72" s="117" t="s">
        <v>60</v>
      </c>
      <c r="C72" s="118" t="s">
        <v>63</v>
      </c>
      <c r="D72" s="119">
        <f>E14</f>
        <v>187377.28999999998</v>
      </c>
      <c r="E72" s="120">
        <f>D72/E21</f>
        <v>3.1462801773349276E-3</v>
      </c>
    </row>
    <row r="73" spans="2:5">
      <c r="B73" s="23" t="s">
        <v>62</v>
      </c>
      <c r="C73" s="24" t="s">
        <v>65</v>
      </c>
      <c r="D73" s="25">
        <f>E17</f>
        <v>84673.8</v>
      </c>
      <c r="E73" s="26">
        <f>D73/E21</f>
        <v>1.4217704743174707E-3</v>
      </c>
    </row>
    <row r="74" spans="2:5">
      <c r="B74" s="121" t="s">
        <v>64</v>
      </c>
      <c r="C74" s="122" t="s">
        <v>66</v>
      </c>
      <c r="D74" s="123">
        <f>D58+D71+D72-D73</f>
        <v>59555182.450000003</v>
      </c>
      <c r="E74" s="67">
        <f>E58+E72-E73</f>
        <v>0.99999999999999989</v>
      </c>
    </row>
    <row r="75" spans="2:5">
      <c r="B75" s="14" t="s">
        <v>4</v>
      </c>
      <c r="C75" s="15" t="s">
        <v>67</v>
      </c>
      <c r="D75" s="79">
        <f>D74</f>
        <v>59555182.450000003</v>
      </c>
      <c r="E75" s="80">
        <f>E74</f>
        <v>0.99999999999999989</v>
      </c>
    </row>
    <row r="76" spans="2:5">
      <c r="B76" s="14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160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150604.94</v>
      </c>
      <c r="E11" s="258">
        <f>E12</f>
        <v>105306.51999999999</v>
      </c>
    </row>
    <row r="12" spans="2:5">
      <c r="B12" s="173" t="s">
        <v>4</v>
      </c>
      <c r="C12" s="174" t="s">
        <v>5</v>
      </c>
      <c r="D12" s="261">
        <v>150604.94</v>
      </c>
      <c r="E12" s="262">
        <f>106813.18-1506.66</f>
        <v>105306.51999999999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150604.94</v>
      </c>
      <c r="E21" s="149">
        <f>E11-E17</f>
        <v>105306.51999999999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126910.11</v>
      </c>
      <c r="E26" s="232">
        <f>D21</f>
        <v>150604.94</v>
      </c>
    </row>
    <row r="27" spans="2:6">
      <c r="B27" s="9" t="s">
        <v>17</v>
      </c>
      <c r="C27" s="10" t="s">
        <v>187</v>
      </c>
      <c r="D27" s="201">
        <v>2551.5800000000017</v>
      </c>
      <c r="E27" s="225">
        <f>E28-E32</f>
        <v>-14044.199999999999</v>
      </c>
      <c r="F27" s="72"/>
    </row>
    <row r="28" spans="2:6">
      <c r="B28" s="9" t="s">
        <v>18</v>
      </c>
      <c r="C28" s="10" t="s">
        <v>19</v>
      </c>
      <c r="D28" s="201">
        <v>41932.160000000003</v>
      </c>
      <c r="E28" s="226">
        <f>E29+E30+E31</f>
        <v>8658.5500000000011</v>
      </c>
      <c r="F28" s="72"/>
    </row>
    <row r="29" spans="2:6">
      <c r="B29" s="181" t="s">
        <v>4</v>
      </c>
      <c r="C29" s="174" t="s">
        <v>20</v>
      </c>
      <c r="D29" s="202">
        <v>5462.59</v>
      </c>
      <c r="E29" s="227">
        <v>4583.5200000000004</v>
      </c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36469.57</v>
      </c>
      <c r="E31" s="227">
        <v>4075.03</v>
      </c>
      <c r="F31" s="72"/>
    </row>
    <row r="32" spans="2:6">
      <c r="B32" s="93" t="s">
        <v>23</v>
      </c>
      <c r="C32" s="11" t="s">
        <v>24</v>
      </c>
      <c r="D32" s="201">
        <v>39380.58</v>
      </c>
      <c r="E32" s="226">
        <f>E33+E35+E37+E39</f>
        <v>22702.75</v>
      </c>
      <c r="F32" s="72"/>
    </row>
    <row r="33" spans="2:6">
      <c r="B33" s="181" t="s">
        <v>4</v>
      </c>
      <c r="C33" s="174" t="s">
        <v>25</v>
      </c>
      <c r="D33" s="202">
        <v>29979.02</v>
      </c>
      <c r="E33" s="227">
        <f>8906.76+355.63</f>
        <v>9262.39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501.2</v>
      </c>
      <c r="E35" s="227">
        <v>284.79000000000002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2497.7600000000002</v>
      </c>
      <c r="E37" s="227">
        <v>2060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6402.6</v>
      </c>
      <c r="E39" s="228">
        <v>11095.57</v>
      </c>
      <c r="F39" s="72"/>
    </row>
    <row r="40" spans="2:6" ht="13.5" thickBot="1">
      <c r="B40" s="98" t="s">
        <v>35</v>
      </c>
      <c r="C40" s="99" t="s">
        <v>36</v>
      </c>
      <c r="D40" s="204">
        <v>21143.25</v>
      </c>
      <c r="E40" s="233">
        <v>-31254.22</v>
      </c>
    </row>
    <row r="41" spans="2:6" ht="13.5" thickBot="1">
      <c r="B41" s="100" t="s">
        <v>37</v>
      </c>
      <c r="C41" s="101" t="s">
        <v>38</v>
      </c>
      <c r="D41" s="205">
        <v>150604.94</v>
      </c>
      <c r="E41" s="149">
        <f>E26+E27+E40</f>
        <v>105306.51999999999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813.83933000000002</v>
      </c>
      <c r="E47" s="150">
        <v>830.55719999999997</v>
      </c>
    </row>
    <row r="48" spans="2:6">
      <c r="B48" s="186" t="s">
        <v>6</v>
      </c>
      <c r="C48" s="187" t="s">
        <v>41</v>
      </c>
      <c r="D48" s="207">
        <v>830.55719999999997</v>
      </c>
      <c r="E48" s="150">
        <v>750.90216999999996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155.94</v>
      </c>
      <c r="E50" s="150">
        <v>181.33</v>
      </c>
    </row>
    <row r="51" spans="2:5">
      <c r="B51" s="184" t="s">
        <v>6</v>
      </c>
      <c r="C51" s="185" t="s">
        <v>190</v>
      </c>
      <c r="D51" s="209">
        <v>152.59</v>
      </c>
      <c r="E51" s="76">
        <v>131.13</v>
      </c>
    </row>
    <row r="52" spans="2:5">
      <c r="B52" s="184" t="s">
        <v>8</v>
      </c>
      <c r="C52" s="185" t="s">
        <v>191</v>
      </c>
      <c r="D52" s="209">
        <v>191.99</v>
      </c>
      <c r="E52" s="76">
        <v>190.03</v>
      </c>
    </row>
    <row r="53" spans="2:5" ht="13.5" customHeight="1" thickBot="1">
      <c r="B53" s="188" t="s">
        <v>9</v>
      </c>
      <c r="C53" s="189" t="s">
        <v>41</v>
      </c>
      <c r="D53" s="210">
        <v>181.33</v>
      </c>
      <c r="E53" s="234">
        <v>140.24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105306.51999999999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105306.51999999999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105306.51999999999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105306.51999999999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161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59887.72</v>
      </c>
      <c r="E11" s="258">
        <f>E12</f>
        <v>16442.86</v>
      </c>
    </row>
    <row r="12" spans="2:5">
      <c r="B12" s="173" t="s">
        <v>4</v>
      </c>
      <c r="C12" s="174" t="s">
        <v>5</v>
      </c>
      <c r="D12" s="261">
        <v>59887.72</v>
      </c>
      <c r="E12" s="262">
        <v>16442.86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59887.72</v>
      </c>
      <c r="E21" s="149">
        <f>E11</f>
        <v>16442.86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56145.38</v>
      </c>
      <c r="E26" s="232">
        <f>D21</f>
        <v>59887.72</v>
      </c>
    </row>
    <row r="27" spans="2:6">
      <c r="B27" s="9" t="s">
        <v>17</v>
      </c>
      <c r="C27" s="10" t="s">
        <v>187</v>
      </c>
      <c r="D27" s="201">
        <v>-2003.85</v>
      </c>
      <c r="E27" s="225">
        <f>E28-E32</f>
        <v>-33744.01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2003.85</v>
      </c>
      <c r="E32" s="226">
        <f>E33+E35+E37+E39</f>
        <v>33744.01</v>
      </c>
      <c r="F32" s="72"/>
    </row>
    <row r="33" spans="2:6">
      <c r="B33" s="181" t="s">
        <v>4</v>
      </c>
      <c r="C33" s="174" t="s">
        <v>25</v>
      </c>
      <c r="D33" s="202">
        <v>1174.05</v>
      </c>
      <c r="E33" s="227">
        <v>33003.279999999999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40.81</v>
      </c>
      <c r="E35" s="227">
        <v>38.44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788.99</v>
      </c>
      <c r="E37" s="227">
        <v>702.29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/>
      <c r="F39" s="72"/>
    </row>
    <row r="40" spans="2:6" ht="13.5" thickBot="1">
      <c r="B40" s="98" t="s">
        <v>35</v>
      </c>
      <c r="C40" s="99" t="s">
        <v>36</v>
      </c>
      <c r="D40" s="204">
        <v>5746.19</v>
      </c>
      <c r="E40" s="233">
        <v>-9700.85</v>
      </c>
    </row>
    <row r="41" spans="2:6" ht="13.5" thickBot="1">
      <c r="B41" s="100" t="s">
        <v>37</v>
      </c>
      <c r="C41" s="101" t="s">
        <v>38</v>
      </c>
      <c r="D41" s="205">
        <v>59887.72</v>
      </c>
      <c r="E41" s="149">
        <f>E26+E27+E40</f>
        <v>16442.86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275.98002000000002</v>
      </c>
      <c r="E47" s="150">
        <v>267.12929000000003</v>
      </c>
    </row>
    <row r="48" spans="2:6">
      <c r="B48" s="186" t="s">
        <v>6</v>
      </c>
      <c r="C48" s="187" t="s">
        <v>41</v>
      </c>
      <c r="D48" s="207">
        <v>267.12929000000003</v>
      </c>
      <c r="E48" s="150">
        <v>90.023899999999998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203.44</v>
      </c>
      <c r="E50" s="150">
        <v>224.19</v>
      </c>
    </row>
    <row r="51" spans="2:5">
      <c r="B51" s="184" t="s">
        <v>6</v>
      </c>
      <c r="C51" s="185" t="s">
        <v>190</v>
      </c>
      <c r="D51" s="209">
        <v>203.3</v>
      </c>
      <c r="E51" s="76">
        <v>180.12</v>
      </c>
    </row>
    <row r="52" spans="2:5">
      <c r="B52" s="184" t="s">
        <v>8</v>
      </c>
      <c r="C52" s="185" t="s">
        <v>191</v>
      </c>
      <c r="D52" s="209">
        <v>231.48</v>
      </c>
      <c r="E52" s="76">
        <v>233.45</v>
      </c>
    </row>
    <row r="53" spans="2:5" ht="14.25" customHeight="1" thickBot="1">
      <c r="B53" s="188" t="s">
        <v>9</v>
      </c>
      <c r="C53" s="189" t="s">
        <v>41</v>
      </c>
      <c r="D53" s="210">
        <v>224.19</v>
      </c>
      <c r="E53" s="234">
        <v>182.65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16442.86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16442.86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16442.86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16442.86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173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7798710.8200000003</v>
      </c>
      <c r="E11" s="258">
        <f>E12</f>
        <v>5339211.8</v>
      </c>
    </row>
    <row r="12" spans="2:5">
      <c r="B12" s="173" t="s">
        <v>4</v>
      </c>
      <c r="C12" s="174" t="s">
        <v>5</v>
      </c>
      <c r="D12" s="261">
        <v>7798710.8200000003</v>
      </c>
      <c r="E12" s="262">
        <v>5339211.8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7798710.8200000003</v>
      </c>
      <c r="E21" s="149">
        <f>E11</f>
        <v>5339211.8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8888225.0800000001</v>
      </c>
      <c r="E26" s="232">
        <f>D21</f>
        <v>7798710.8200000003</v>
      </c>
    </row>
    <row r="27" spans="2:6">
      <c r="B27" s="9" t="s">
        <v>17</v>
      </c>
      <c r="C27" s="10" t="s">
        <v>187</v>
      </c>
      <c r="D27" s="201">
        <v>-1781886.06</v>
      </c>
      <c r="E27" s="225">
        <f>E28-E32</f>
        <v>-1580933.7300000002</v>
      </c>
      <c r="F27" s="72"/>
    </row>
    <row r="28" spans="2:6">
      <c r="B28" s="9" t="s">
        <v>18</v>
      </c>
      <c r="C28" s="10" t="s">
        <v>19</v>
      </c>
      <c r="D28" s="201">
        <v>230143.61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230143.61</v>
      </c>
      <c r="E31" s="227"/>
      <c r="F31" s="72"/>
    </row>
    <row r="32" spans="2:6">
      <c r="B32" s="93" t="s">
        <v>23</v>
      </c>
      <c r="C32" s="11" t="s">
        <v>24</v>
      </c>
      <c r="D32" s="201">
        <v>2012029.67</v>
      </c>
      <c r="E32" s="226">
        <f>E33+E35+E37+E39</f>
        <v>1580933.7300000002</v>
      </c>
      <c r="F32" s="72"/>
    </row>
    <row r="33" spans="2:6">
      <c r="B33" s="181" t="s">
        <v>4</v>
      </c>
      <c r="C33" s="174" t="s">
        <v>25</v>
      </c>
      <c r="D33" s="202">
        <v>752235.34</v>
      </c>
      <c r="E33" s="227">
        <v>1238802.8400000001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16123.54</v>
      </c>
      <c r="E35" s="227">
        <v>19041.5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136043.6</v>
      </c>
      <c r="E37" s="227">
        <v>116001.59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1107627.19</v>
      </c>
      <c r="E39" s="228">
        <v>207087.8</v>
      </c>
      <c r="F39" s="72"/>
    </row>
    <row r="40" spans="2:6" ht="13.5" thickBot="1">
      <c r="B40" s="98" t="s">
        <v>35</v>
      </c>
      <c r="C40" s="99" t="s">
        <v>36</v>
      </c>
      <c r="D40" s="204">
        <v>692371.8</v>
      </c>
      <c r="E40" s="233">
        <v>-878565.29</v>
      </c>
    </row>
    <row r="41" spans="2:6" ht="13.5" thickBot="1">
      <c r="B41" s="100" t="s">
        <v>37</v>
      </c>
      <c r="C41" s="101" t="s">
        <v>38</v>
      </c>
      <c r="D41" s="205">
        <v>7798710.8199999994</v>
      </c>
      <c r="E41" s="149">
        <f>E26+E27+E40</f>
        <v>5339211.8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56946.598409999999</v>
      </c>
      <c r="E47" s="150">
        <v>46086.223989999999</v>
      </c>
    </row>
    <row r="48" spans="2:6">
      <c r="B48" s="186" t="s">
        <v>6</v>
      </c>
      <c r="C48" s="187" t="s">
        <v>41</v>
      </c>
      <c r="D48" s="207">
        <v>46086.223989999999</v>
      </c>
      <c r="E48" s="150">
        <v>36024.639300000003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156.08000000000001</v>
      </c>
      <c r="E50" s="150">
        <v>169.22</v>
      </c>
    </row>
    <row r="51" spans="2:5">
      <c r="B51" s="184" t="s">
        <v>6</v>
      </c>
      <c r="C51" s="185" t="s">
        <v>190</v>
      </c>
      <c r="D51" s="209">
        <v>154.13999999999999</v>
      </c>
      <c r="E51" s="76">
        <v>145.28</v>
      </c>
    </row>
    <row r="52" spans="2:5">
      <c r="B52" s="184" t="s">
        <v>8</v>
      </c>
      <c r="C52" s="185" t="s">
        <v>191</v>
      </c>
      <c r="D52" s="209">
        <v>171.01</v>
      </c>
      <c r="E52" s="76">
        <v>175.39</v>
      </c>
    </row>
    <row r="53" spans="2:5" ht="12.75" customHeight="1" thickBot="1">
      <c r="B53" s="188" t="s">
        <v>9</v>
      </c>
      <c r="C53" s="189" t="s">
        <v>41</v>
      </c>
      <c r="D53" s="210">
        <v>169.22</v>
      </c>
      <c r="E53" s="234">
        <v>148.21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5339211.8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5339211.8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5339211.8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5339211.8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171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16368771.6</v>
      </c>
      <c r="E11" s="258">
        <f>E12</f>
        <v>12495527.130000001</v>
      </c>
    </row>
    <row r="12" spans="2:5">
      <c r="B12" s="173" t="s">
        <v>4</v>
      </c>
      <c r="C12" s="174" t="s">
        <v>5</v>
      </c>
      <c r="D12" s="261">
        <v>16368771.6</v>
      </c>
      <c r="E12" s="262">
        <v>12495527.130000001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16368771.6</v>
      </c>
      <c r="E21" s="149">
        <f>E11</f>
        <v>12495527.130000001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16734149.279999999</v>
      </c>
      <c r="E26" s="232">
        <f>D21</f>
        <v>16368771.6</v>
      </c>
    </row>
    <row r="27" spans="2:6">
      <c r="B27" s="9" t="s">
        <v>17</v>
      </c>
      <c r="C27" s="10" t="s">
        <v>187</v>
      </c>
      <c r="D27" s="201">
        <v>-1082950.52</v>
      </c>
      <c r="E27" s="225">
        <f>E28-E32</f>
        <v>-3213890.12</v>
      </c>
      <c r="F27" s="72"/>
    </row>
    <row r="28" spans="2:6">
      <c r="B28" s="9" t="s">
        <v>18</v>
      </c>
      <c r="C28" s="10" t="s">
        <v>19</v>
      </c>
      <c r="D28" s="201">
        <v>824538.74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824538.74</v>
      </c>
      <c r="E31" s="227"/>
      <c r="F31" s="72"/>
    </row>
    <row r="32" spans="2:6">
      <c r="B32" s="93" t="s">
        <v>23</v>
      </c>
      <c r="C32" s="11" t="s">
        <v>24</v>
      </c>
      <c r="D32" s="201">
        <v>1907489.26</v>
      </c>
      <c r="E32" s="226">
        <f>E33+E35+E37+E39</f>
        <v>3213890.12</v>
      </c>
      <c r="F32" s="72"/>
    </row>
    <row r="33" spans="2:6">
      <c r="B33" s="181" t="s">
        <v>4</v>
      </c>
      <c r="C33" s="174" t="s">
        <v>25</v>
      </c>
      <c r="D33" s="202">
        <v>1408129.96</v>
      </c>
      <c r="E33" s="227">
        <v>2495012.63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12124.82</v>
      </c>
      <c r="E35" s="227">
        <v>11268.37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273076.39</v>
      </c>
      <c r="E37" s="227">
        <v>249510.73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214158.09</v>
      </c>
      <c r="E39" s="228">
        <v>458098.39</v>
      </c>
      <c r="F39" s="72"/>
    </row>
    <row r="40" spans="2:6" ht="13.5" thickBot="1">
      <c r="B40" s="98" t="s">
        <v>35</v>
      </c>
      <c r="C40" s="99" t="s">
        <v>36</v>
      </c>
      <c r="D40" s="204">
        <v>717572.84</v>
      </c>
      <c r="E40" s="233">
        <v>-659354.35</v>
      </c>
    </row>
    <row r="41" spans="2:6" ht="13.5" thickBot="1">
      <c r="B41" s="100" t="s">
        <v>37</v>
      </c>
      <c r="C41" s="101" t="s">
        <v>38</v>
      </c>
      <c r="D41" s="205">
        <v>16368771.6</v>
      </c>
      <c r="E41" s="149">
        <f>E26+E27+E40</f>
        <v>12495527.130000001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98021.024380000003</v>
      </c>
      <c r="E47" s="150">
        <v>91892.278649999993</v>
      </c>
    </row>
    <row r="48" spans="2:6">
      <c r="B48" s="186" t="s">
        <v>6</v>
      </c>
      <c r="C48" s="187" t="s">
        <v>41</v>
      </c>
      <c r="D48" s="207">
        <v>91892.278649999993</v>
      </c>
      <c r="E48" s="150">
        <v>73339.166200000007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170.72</v>
      </c>
      <c r="E50" s="150">
        <v>178.13</v>
      </c>
    </row>
    <row r="51" spans="2:5">
      <c r="B51" s="184" t="s">
        <v>6</v>
      </c>
      <c r="C51" s="185" t="s">
        <v>190</v>
      </c>
      <c r="D51" s="209">
        <v>170.72</v>
      </c>
      <c r="E51" s="150">
        <v>170.05</v>
      </c>
    </row>
    <row r="52" spans="2:5">
      <c r="B52" s="184" t="s">
        <v>8</v>
      </c>
      <c r="C52" s="185" t="s">
        <v>191</v>
      </c>
      <c r="D52" s="209">
        <v>178.73</v>
      </c>
      <c r="E52" s="76">
        <v>180.55</v>
      </c>
    </row>
    <row r="53" spans="2:5" ht="13.5" customHeight="1" thickBot="1">
      <c r="B53" s="188" t="s">
        <v>9</v>
      </c>
      <c r="C53" s="189" t="s">
        <v>41</v>
      </c>
      <c r="D53" s="210">
        <v>178.13</v>
      </c>
      <c r="E53" s="234">
        <v>170.38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12495527.130000001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12495527.130000001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12495527.130000001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12495527.130000001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172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10413724.82</v>
      </c>
      <c r="E11" s="258">
        <f>E12</f>
        <v>6626092.6600000001</v>
      </c>
    </row>
    <row r="12" spans="2:5">
      <c r="B12" s="173" t="s">
        <v>4</v>
      </c>
      <c r="C12" s="174" t="s">
        <v>5</v>
      </c>
      <c r="D12" s="261">
        <v>10413724.82</v>
      </c>
      <c r="E12" s="262">
        <f>6626104.74-12.08</f>
        <v>6626092.6600000001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10413724.82</v>
      </c>
      <c r="E21" s="149">
        <f>E11-E17</f>
        <v>6626092.6600000001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18273576.52</v>
      </c>
      <c r="E26" s="232">
        <f>D21</f>
        <v>10413724.82</v>
      </c>
    </row>
    <row r="27" spans="2:6">
      <c r="B27" s="9" t="s">
        <v>17</v>
      </c>
      <c r="C27" s="10" t="s">
        <v>187</v>
      </c>
      <c r="D27" s="201">
        <v>-8054612.7899999991</v>
      </c>
      <c r="E27" s="225">
        <f>E28-E32</f>
        <v>-3197788.12</v>
      </c>
      <c r="F27" s="72"/>
    </row>
    <row r="28" spans="2:6">
      <c r="B28" s="9" t="s">
        <v>18</v>
      </c>
      <c r="C28" s="10" t="s">
        <v>19</v>
      </c>
      <c r="D28" s="201">
        <v>773588.25</v>
      </c>
      <c r="E28" s="226">
        <f>E29+E30+E31</f>
        <v>368435.29</v>
      </c>
      <c r="F28" s="72"/>
    </row>
    <row r="29" spans="2:6">
      <c r="B29" s="181" t="s">
        <v>4</v>
      </c>
      <c r="C29" s="174" t="s">
        <v>20</v>
      </c>
      <c r="D29" s="202">
        <v>7254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766334.25</v>
      </c>
      <c r="E31" s="227">
        <v>368435.29</v>
      </c>
      <c r="F31" s="72"/>
    </row>
    <row r="32" spans="2:6">
      <c r="B32" s="93" t="s">
        <v>23</v>
      </c>
      <c r="C32" s="11" t="s">
        <v>24</v>
      </c>
      <c r="D32" s="201">
        <v>8828201.0399999991</v>
      </c>
      <c r="E32" s="226">
        <f>E33+E35+E37+E39</f>
        <v>3566223.41</v>
      </c>
      <c r="F32" s="72"/>
    </row>
    <row r="33" spans="2:6">
      <c r="B33" s="181" t="s">
        <v>4</v>
      </c>
      <c r="C33" s="174" t="s">
        <v>25</v>
      </c>
      <c r="D33" s="202">
        <v>4498409.22</v>
      </c>
      <c r="E33" s="227">
        <f>2469573.3-1.08</f>
        <v>2469572.2199999997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19583.37</v>
      </c>
      <c r="E35" s="227">
        <v>22171.89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239426.33</v>
      </c>
      <c r="E37" s="227">
        <v>126628.66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4070782.12</v>
      </c>
      <c r="E39" s="228">
        <v>947850.64</v>
      </c>
      <c r="F39" s="72"/>
    </row>
    <row r="40" spans="2:6" ht="13.5" thickBot="1">
      <c r="B40" s="98" t="s">
        <v>35</v>
      </c>
      <c r="C40" s="99" t="s">
        <v>36</v>
      </c>
      <c r="D40" s="204">
        <v>194761.09</v>
      </c>
      <c r="E40" s="233">
        <v>-589844.04</v>
      </c>
    </row>
    <row r="41" spans="2:6" ht="13.5" thickBot="1">
      <c r="B41" s="100" t="s">
        <v>37</v>
      </c>
      <c r="C41" s="101" t="s">
        <v>38</v>
      </c>
      <c r="D41" s="205">
        <v>10413724.82</v>
      </c>
      <c r="E41" s="149">
        <f>E26+E27+E40</f>
        <v>6626092.6600000001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82986.269400000005</v>
      </c>
      <c r="E47" s="150">
        <v>46425.593240000002</v>
      </c>
    </row>
    <row r="48" spans="2:6">
      <c r="B48" s="186" t="s">
        <v>6</v>
      </c>
      <c r="C48" s="187" t="s">
        <v>41</v>
      </c>
      <c r="D48" s="207">
        <v>46425.593240000002</v>
      </c>
      <c r="E48" s="150">
        <v>32159.253830000001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220.2</v>
      </c>
      <c r="E50" s="150">
        <v>224.31</v>
      </c>
    </row>
    <row r="51" spans="2:5">
      <c r="B51" s="184" t="s">
        <v>6</v>
      </c>
      <c r="C51" s="185" t="s">
        <v>190</v>
      </c>
      <c r="D51" s="209">
        <v>209.32</v>
      </c>
      <c r="E51" s="76">
        <v>203.72</v>
      </c>
    </row>
    <row r="52" spans="2:5">
      <c r="B52" s="184" t="s">
        <v>8</v>
      </c>
      <c r="C52" s="185" t="s">
        <v>191</v>
      </c>
      <c r="D52" s="209">
        <v>231.1</v>
      </c>
      <c r="E52" s="76">
        <v>234.86</v>
      </c>
    </row>
    <row r="53" spans="2:5" ht="13.5" customHeight="1" thickBot="1">
      <c r="B53" s="188" t="s">
        <v>9</v>
      </c>
      <c r="C53" s="189" t="s">
        <v>41</v>
      </c>
      <c r="D53" s="210">
        <v>224.31</v>
      </c>
      <c r="E53" s="234">
        <v>206.04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6626092.6600000001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3.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E12</f>
        <v>6626092.6600000001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1" t="s">
        <v>64</v>
      </c>
      <c r="C74" s="122" t="s">
        <v>66</v>
      </c>
      <c r="D74" s="123">
        <f>D58-D73</f>
        <v>6626092.6600000001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6626092.6600000001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174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4987681.6399999997</v>
      </c>
      <c r="E11" s="258">
        <f>E12</f>
        <v>3323449.45</v>
      </c>
    </row>
    <row r="12" spans="2:5">
      <c r="B12" s="173" t="s">
        <v>4</v>
      </c>
      <c r="C12" s="174" t="s">
        <v>5</v>
      </c>
      <c r="D12" s="261">
        <v>4987681.6399999997</v>
      </c>
      <c r="E12" s="262">
        <f>3323456.2-6.75</f>
        <v>3323449.45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4987681.6399999997</v>
      </c>
      <c r="E21" s="149">
        <f>E11</f>
        <v>3323449.45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6086818.46</v>
      </c>
      <c r="E26" s="232">
        <f>D21</f>
        <v>4987681.6399999997</v>
      </c>
    </row>
    <row r="27" spans="2:6">
      <c r="B27" s="9" t="s">
        <v>17</v>
      </c>
      <c r="C27" s="10" t="s">
        <v>187</v>
      </c>
      <c r="D27" s="201">
        <v>-2131194.0500000003</v>
      </c>
      <c r="E27" s="225">
        <f>E28-E32</f>
        <v>-793785.52</v>
      </c>
      <c r="F27" s="72"/>
    </row>
    <row r="28" spans="2:6">
      <c r="B28" s="9" t="s">
        <v>18</v>
      </c>
      <c r="C28" s="10" t="s">
        <v>19</v>
      </c>
      <c r="D28" s="201">
        <v>535682.65</v>
      </c>
      <c r="E28" s="226">
        <f>E29+E30+E31</f>
        <v>521722.03</v>
      </c>
      <c r="F28" s="72"/>
    </row>
    <row r="29" spans="2:6">
      <c r="B29" s="181" t="s">
        <v>4</v>
      </c>
      <c r="C29" s="174" t="s">
        <v>20</v>
      </c>
      <c r="D29" s="202">
        <v>25727</v>
      </c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509955.65</v>
      </c>
      <c r="E31" s="227">
        <v>521722.03</v>
      </c>
      <c r="F31" s="72"/>
    </row>
    <row r="32" spans="2:6">
      <c r="B32" s="93" t="s">
        <v>23</v>
      </c>
      <c r="C32" s="11" t="s">
        <v>24</v>
      </c>
      <c r="D32" s="201">
        <v>2666876.7000000002</v>
      </c>
      <c r="E32" s="226">
        <f>E33+E35+E37+E39</f>
        <v>1315507.55</v>
      </c>
      <c r="F32" s="72"/>
    </row>
    <row r="33" spans="2:6">
      <c r="B33" s="181" t="s">
        <v>4</v>
      </c>
      <c r="C33" s="174" t="s">
        <v>25</v>
      </c>
      <c r="D33" s="202">
        <v>2440045.37</v>
      </c>
      <c r="E33" s="227">
        <f>937479.34-1.58</f>
        <v>937477.76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4530.6899999999996</v>
      </c>
      <c r="E35" s="227">
        <v>4827.24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89105.47</v>
      </c>
      <c r="E37" s="227">
        <v>69656.73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133195.17000000001</v>
      </c>
      <c r="E39" s="228">
        <v>303545.82</v>
      </c>
      <c r="F39" s="72"/>
    </row>
    <row r="40" spans="2:6" ht="13.5" thickBot="1">
      <c r="B40" s="98" t="s">
        <v>35</v>
      </c>
      <c r="C40" s="99" t="s">
        <v>36</v>
      </c>
      <c r="D40" s="204">
        <v>1032057.23</v>
      </c>
      <c r="E40" s="233">
        <v>-870446.67</v>
      </c>
    </row>
    <row r="41" spans="2:6" ht="13.5" thickBot="1">
      <c r="B41" s="100" t="s">
        <v>37</v>
      </c>
      <c r="C41" s="101" t="s">
        <v>38</v>
      </c>
      <c r="D41" s="205">
        <v>4987681.6399999997</v>
      </c>
      <c r="E41" s="149">
        <f>E26+E27+E40</f>
        <v>3323449.4499999997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34178.328130000002</v>
      </c>
      <c r="E47" s="150">
        <v>22984.74639</v>
      </c>
    </row>
    <row r="48" spans="2:6">
      <c r="B48" s="186" t="s">
        <v>6</v>
      </c>
      <c r="C48" s="187" t="s">
        <v>41</v>
      </c>
      <c r="D48" s="207">
        <v>22984.74639</v>
      </c>
      <c r="E48" s="150">
        <v>18916.55444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178.09</v>
      </c>
      <c r="E50" s="150">
        <v>217</v>
      </c>
    </row>
    <row r="51" spans="2:5">
      <c r="B51" s="184" t="s">
        <v>6</v>
      </c>
      <c r="C51" s="185" t="s">
        <v>190</v>
      </c>
      <c r="D51" s="209">
        <v>172.81</v>
      </c>
      <c r="E51" s="76">
        <v>173.43</v>
      </c>
    </row>
    <row r="52" spans="2:5">
      <c r="B52" s="184" t="s">
        <v>8</v>
      </c>
      <c r="C52" s="185" t="s">
        <v>191</v>
      </c>
      <c r="D52" s="209">
        <v>218.11</v>
      </c>
      <c r="E52" s="76">
        <v>228.07</v>
      </c>
    </row>
    <row r="53" spans="2:5" ht="12.75" customHeight="1" thickBot="1">
      <c r="B53" s="188" t="s">
        <v>9</v>
      </c>
      <c r="C53" s="189" t="s">
        <v>41</v>
      </c>
      <c r="D53" s="210">
        <v>217</v>
      </c>
      <c r="E53" s="234">
        <v>175.69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7.2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3323449.45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 ht="12.75" customHeight="1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3323449.45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3323449.45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3323449.45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176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1206746.97</v>
      </c>
      <c r="E11" s="258">
        <f>E12</f>
        <v>243859.62</v>
      </c>
    </row>
    <row r="12" spans="2:5">
      <c r="B12" s="173" t="s">
        <v>4</v>
      </c>
      <c r="C12" s="174" t="s">
        <v>5</v>
      </c>
      <c r="D12" s="261">
        <v>1206746.97</v>
      </c>
      <c r="E12" s="262">
        <v>243859.62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1206746.97</v>
      </c>
      <c r="E21" s="149">
        <f>E11</f>
        <v>243859.62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1347168.74</v>
      </c>
      <c r="E26" s="232">
        <f>D21</f>
        <v>1206746.97</v>
      </c>
    </row>
    <row r="27" spans="2:6">
      <c r="B27" s="9" t="s">
        <v>17</v>
      </c>
      <c r="C27" s="10" t="s">
        <v>187</v>
      </c>
      <c r="D27" s="201">
        <v>-469866.47</v>
      </c>
      <c r="E27" s="225">
        <f>E28-E32</f>
        <v>-910629.29999999993</v>
      </c>
      <c r="F27" s="72"/>
    </row>
    <row r="28" spans="2:6">
      <c r="B28" s="9" t="s">
        <v>18</v>
      </c>
      <c r="C28" s="10" t="s">
        <v>19</v>
      </c>
      <c r="D28" s="201">
        <v>160575.71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160575.71</v>
      </c>
      <c r="E31" s="227"/>
      <c r="F31" s="72"/>
    </row>
    <row r="32" spans="2:6">
      <c r="B32" s="93" t="s">
        <v>23</v>
      </c>
      <c r="C32" s="11" t="s">
        <v>24</v>
      </c>
      <c r="D32" s="201">
        <v>630442.17999999993</v>
      </c>
      <c r="E32" s="226">
        <f>E33+E35+E37+E39</f>
        <v>910629.29999999993</v>
      </c>
      <c r="F32" s="72"/>
    </row>
    <row r="33" spans="2:6">
      <c r="B33" s="181" t="s">
        <v>4</v>
      </c>
      <c r="C33" s="174" t="s">
        <v>25</v>
      </c>
      <c r="D33" s="202">
        <v>606755.12</v>
      </c>
      <c r="E33" s="227">
        <v>83138.509999999995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2508.0700000000002</v>
      </c>
      <c r="E35" s="227">
        <v>932.32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21178.99</v>
      </c>
      <c r="E37" s="227">
        <v>10707.5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/>
      <c r="E39" s="228">
        <v>815850.97</v>
      </c>
      <c r="F39" s="72"/>
    </row>
    <row r="40" spans="2:6" ht="13.5" thickBot="1">
      <c r="B40" s="98" t="s">
        <v>35</v>
      </c>
      <c r="C40" s="99" t="s">
        <v>36</v>
      </c>
      <c r="D40" s="204">
        <v>329444.7</v>
      </c>
      <c r="E40" s="233">
        <v>-52258.05</v>
      </c>
    </row>
    <row r="41" spans="2:6" ht="13.5" thickBot="1">
      <c r="B41" s="100" t="s">
        <v>37</v>
      </c>
      <c r="C41" s="101" t="s">
        <v>38</v>
      </c>
      <c r="D41" s="205">
        <v>1206746.97</v>
      </c>
      <c r="E41" s="149">
        <f>E26+E27+E40</f>
        <v>243859.62000000005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12668.504209999999</v>
      </c>
      <c r="E47" s="150">
        <v>8875.0972600000005</v>
      </c>
    </row>
    <row r="48" spans="2:6">
      <c r="B48" s="186" t="s">
        <v>6</v>
      </c>
      <c r="C48" s="187" t="s">
        <v>41</v>
      </c>
      <c r="D48" s="207">
        <v>8875.0972600000005</v>
      </c>
      <c r="E48" s="150">
        <v>2055.2854000000002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106.34</v>
      </c>
      <c r="E50" s="150">
        <v>135.97</v>
      </c>
    </row>
    <row r="51" spans="2:5">
      <c r="B51" s="184" t="s">
        <v>6</v>
      </c>
      <c r="C51" s="185" t="s">
        <v>190</v>
      </c>
      <c r="D51" s="209">
        <v>106.32</v>
      </c>
      <c r="E51" s="76">
        <v>114.83</v>
      </c>
    </row>
    <row r="52" spans="2:5">
      <c r="B52" s="184" t="s">
        <v>8</v>
      </c>
      <c r="C52" s="185" t="s">
        <v>191</v>
      </c>
      <c r="D52" s="209">
        <v>136.9</v>
      </c>
      <c r="E52" s="76">
        <v>141.52000000000001</v>
      </c>
    </row>
    <row r="53" spans="2:5" ht="13.5" customHeight="1" thickBot="1">
      <c r="B53" s="188" t="s">
        <v>9</v>
      </c>
      <c r="C53" s="189" t="s">
        <v>41</v>
      </c>
      <c r="D53" s="210">
        <v>135.97</v>
      </c>
      <c r="E53" s="234">
        <v>118.65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5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243859.62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243859.62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243859.62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243859.62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175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3448197.9</v>
      </c>
      <c r="E11" s="258">
        <f>E12</f>
        <v>3172633.79</v>
      </c>
    </row>
    <row r="12" spans="2:5">
      <c r="B12" s="173" t="s">
        <v>4</v>
      </c>
      <c r="C12" s="174" t="s">
        <v>5</v>
      </c>
      <c r="D12" s="261">
        <v>3448197.9</v>
      </c>
      <c r="E12" s="262">
        <v>3172633.79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3448197.9</v>
      </c>
      <c r="E21" s="149">
        <f>E11</f>
        <v>3172633.79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1524141.43</v>
      </c>
      <c r="E26" s="232">
        <f>D21</f>
        <v>3448197.9</v>
      </c>
    </row>
    <row r="27" spans="2:6">
      <c r="B27" s="9" t="s">
        <v>17</v>
      </c>
      <c r="C27" s="10" t="s">
        <v>187</v>
      </c>
      <c r="D27" s="201">
        <v>1652302.21</v>
      </c>
      <c r="E27" s="225">
        <f>E28-E32</f>
        <v>219128.67999999993</v>
      </c>
      <c r="F27" s="72"/>
    </row>
    <row r="28" spans="2:6">
      <c r="B28" s="9" t="s">
        <v>18</v>
      </c>
      <c r="C28" s="10" t="s">
        <v>19</v>
      </c>
      <c r="D28" s="201">
        <v>3273433.2</v>
      </c>
      <c r="E28" s="226">
        <f>E29+E30+E31</f>
        <v>763719.48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3273433.2</v>
      </c>
      <c r="E31" s="227">
        <v>763719.48</v>
      </c>
      <c r="F31" s="72"/>
    </row>
    <row r="32" spans="2:6">
      <c r="B32" s="93" t="s">
        <v>23</v>
      </c>
      <c r="C32" s="11" t="s">
        <v>24</v>
      </c>
      <c r="D32" s="201">
        <v>1621130.9900000002</v>
      </c>
      <c r="E32" s="226">
        <f>E33+E35+E37+E39</f>
        <v>544590.80000000005</v>
      </c>
      <c r="F32" s="72"/>
    </row>
    <row r="33" spans="2:6">
      <c r="B33" s="181" t="s">
        <v>4</v>
      </c>
      <c r="C33" s="174" t="s">
        <v>25</v>
      </c>
      <c r="D33" s="202">
        <v>1296175.83</v>
      </c>
      <c r="E33" s="227">
        <v>482867.83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980.57</v>
      </c>
      <c r="E35" s="227">
        <v>5094.3999999999996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42931.06</v>
      </c>
      <c r="E37" s="227">
        <v>56628.57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281043.53000000003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271754.26</v>
      </c>
      <c r="E40" s="233">
        <v>-494692.79</v>
      </c>
    </row>
    <row r="41" spans="2:6" ht="13.5" thickBot="1">
      <c r="B41" s="100" t="s">
        <v>37</v>
      </c>
      <c r="C41" s="101" t="s">
        <v>38</v>
      </c>
      <c r="D41" s="205">
        <v>3448197.8999999994</v>
      </c>
      <c r="E41" s="149">
        <f>E26+E27+E40</f>
        <v>3172633.79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17819.962960000001</v>
      </c>
      <c r="E47" s="150">
        <v>35754.851690000003</v>
      </c>
    </row>
    <row r="48" spans="2:6">
      <c r="B48" s="186" t="s">
        <v>6</v>
      </c>
      <c r="C48" s="187" t="s">
        <v>41</v>
      </c>
      <c r="D48" s="207">
        <v>35754.851690000003</v>
      </c>
      <c r="E48" s="150">
        <v>37193.830999999998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85.53</v>
      </c>
      <c r="E50" s="150">
        <v>96.44</v>
      </c>
    </row>
    <row r="51" spans="2:5">
      <c r="B51" s="184" t="s">
        <v>6</v>
      </c>
      <c r="C51" s="185" t="s">
        <v>190</v>
      </c>
      <c r="D51" s="209">
        <v>84.59</v>
      </c>
      <c r="E51" s="150">
        <v>82.19</v>
      </c>
    </row>
    <row r="52" spans="2:5">
      <c r="B52" s="184" t="s">
        <v>8</v>
      </c>
      <c r="C52" s="185" t="s">
        <v>191</v>
      </c>
      <c r="D52" s="209">
        <v>98.92</v>
      </c>
      <c r="E52" s="76">
        <v>101.41</v>
      </c>
    </row>
    <row r="53" spans="2:5" ht="12.75" customHeight="1" thickBot="1">
      <c r="B53" s="188" t="s">
        <v>9</v>
      </c>
      <c r="C53" s="189" t="s">
        <v>41</v>
      </c>
      <c r="D53" s="210">
        <v>96.44</v>
      </c>
      <c r="E53" s="234">
        <v>85.3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3172633.79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3172633.79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3172633.79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3172633.79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170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1563677.38</v>
      </c>
      <c r="E11" s="258">
        <f>E12</f>
        <v>620886.81000000006</v>
      </c>
    </row>
    <row r="12" spans="2:5">
      <c r="B12" s="173" t="s">
        <v>4</v>
      </c>
      <c r="C12" s="174" t="s">
        <v>5</v>
      </c>
      <c r="D12" s="261">
        <v>1563677.38</v>
      </c>
      <c r="E12" s="262">
        <v>620886.81000000006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1563677.38</v>
      </c>
      <c r="E21" s="149">
        <f>E11</f>
        <v>620886.81000000006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1325230.56</v>
      </c>
      <c r="E26" s="232">
        <f>D21</f>
        <v>1563677.38</v>
      </c>
    </row>
    <row r="27" spans="2:6">
      <c r="B27" s="9" t="s">
        <v>17</v>
      </c>
      <c r="C27" s="10" t="s">
        <v>187</v>
      </c>
      <c r="D27" s="201">
        <v>92319.63</v>
      </c>
      <c r="E27" s="225">
        <f>E28-E32</f>
        <v>-901993.3899999999</v>
      </c>
      <c r="F27" s="72"/>
    </row>
    <row r="28" spans="2:6">
      <c r="B28" s="9" t="s">
        <v>18</v>
      </c>
      <c r="C28" s="10" t="s">
        <v>19</v>
      </c>
      <c r="D28" s="201">
        <v>241251.79</v>
      </c>
      <c r="E28" s="226">
        <f>E29+E30+E31</f>
        <v>20071.66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>
        <v>241251.79</v>
      </c>
      <c r="E31" s="227">
        <v>20071.66</v>
      </c>
      <c r="F31" s="72"/>
    </row>
    <row r="32" spans="2:6">
      <c r="B32" s="93" t="s">
        <v>23</v>
      </c>
      <c r="C32" s="11" t="s">
        <v>24</v>
      </c>
      <c r="D32" s="201">
        <v>148932.16</v>
      </c>
      <c r="E32" s="226">
        <f>E33+E35+E37+E39</f>
        <v>922065.04999999993</v>
      </c>
      <c r="F32" s="72"/>
    </row>
    <row r="33" spans="2:6">
      <c r="B33" s="181" t="s">
        <v>4</v>
      </c>
      <c r="C33" s="174" t="s">
        <v>25</v>
      </c>
      <c r="D33" s="202">
        <v>97729.49</v>
      </c>
      <c r="E33" s="227">
        <v>900657.49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765.9</v>
      </c>
      <c r="E35" s="227">
        <v>704.44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24437.52</v>
      </c>
      <c r="E37" s="227">
        <v>20703.12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25999.25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146127.19</v>
      </c>
      <c r="E40" s="233">
        <v>-40797.18</v>
      </c>
    </row>
    <row r="41" spans="2:6" ht="13.5" thickBot="1">
      <c r="B41" s="100" t="s">
        <v>37</v>
      </c>
      <c r="C41" s="101" t="s">
        <v>38</v>
      </c>
      <c r="D41" s="205">
        <v>1563677.38</v>
      </c>
      <c r="E41" s="149">
        <f>E26+E27+E40</f>
        <v>620886.80999999994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7131.4134299999996</v>
      </c>
      <c r="E47" s="150">
        <v>7552.9023999999999</v>
      </c>
    </row>
    <row r="48" spans="2:6">
      <c r="B48" s="186" t="s">
        <v>6</v>
      </c>
      <c r="C48" s="187" t="s">
        <v>41</v>
      </c>
      <c r="D48" s="207">
        <v>7552.9023999999999</v>
      </c>
      <c r="E48" s="150">
        <v>3346.9182999999998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185.83</v>
      </c>
      <c r="E50" s="150">
        <v>207.03</v>
      </c>
    </row>
    <row r="51" spans="2:5">
      <c r="B51" s="184" t="s">
        <v>6</v>
      </c>
      <c r="C51" s="185" t="s">
        <v>190</v>
      </c>
      <c r="D51" s="209">
        <v>185.29</v>
      </c>
      <c r="E51" s="76">
        <v>182.06</v>
      </c>
    </row>
    <row r="52" spans="2:5">
      <c r="B52" s="184" t="s">
        <v>8</v>
      </c>
      <c r="C52" s="185" t="s">
        <v>191</v>
      </c>
      <c r="D52" s="209">
        <v>208.32</v>
      </c>
      <c r="E52" s="76">
        <v>218.44</v>
      </c>
    </row>
    <row r="53" spans="2:5" ht="12.75" customHeight="1" thickBot="1">
      <c r="B53" s="188" t="s">
        <v>9</v>
      </c>
      <c r="C53" s="189" t="s">
        <v>41</v>
      </c>
      <c r="D53" s="210">
        <v>207.03</v>
      </c>
      <c r="E53" s="234">
        <v>185.51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6.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620886.81000000006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620886.81000000006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620886.81000000006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620886.81000000006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F81"/>
  <sheetViews>
    <sheetView zoomScale="80" zoomScaleNormal="80" workbookViewId="0">
      <selection activeCell="L34" sqref="L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4" t="s">
        <v>0</v>
      </c>
      <c r="C2" s="354"/>
      <c r="D2" s="354"/>
      <c r="E2" s="354"/>
    </row>
    <row r="3" spans="2:5" ht="15.75">
      <c r="B3" s="354" t="s">
        <v>290</v>
      </c>
      <c r="C3" s="354"/>
      <c r="D3" s="354"/>
      <c r="E3" s="354"/>
    </row>
    <row r="4" spans="2:5" ht="15">
      <c r="B4" s="139"/>
      <c r="C4" s="139"/>
      <c r="D4" s="139"/>
      <c r="E4" s="139"/>
    </row>
    <row r="5" spans="2:5" ht="21" customHeight="1">
      <c r="B5" s="355" t="s">
        <v>1</v>
      </c>
      <c r="C5" s="355"/>
      <c r="D5" s="355"/>
      <c r="E5" s="355"/>
    </row>
    <row r="6" spans="2:5" ht="14.25">
      <c r="B6" s="356" t="s">
        <v>215</v>
      </c>
      <c r="C6" s="356"/>
      <c r="D6" s="356"/>
      <c r="E6" s="356"/>
    </row>
    <row r="7" spans="2:5" ht="14.25">
      <c r="B7" s="137"/>
      <c r="C7" s="137"/>
      <c r="D7" s="137"/>
      <c r="E7" s="137"/>
    </row>
    <row r="8" spans="2:5" ht="13.5">
      <c r="B8" s="358" t="s">
        <v>18</v>
      </c>
      <c r="C8" s="360"/>
      <c r="D8" s="360"/>
      <c r="E8" s="360"/>
    </row>
    <row r="9" spans="2:5" ht="16.5" thickBot="1">
      <c r="B9" s="357" t="s">
        <v>179</v>
      </c>
      <c r="C9" s="357"/>
      <c r="D9" s="357"/>
      <c r="E9" s="357"/>
    </row>
    <row r="10" spans="2:5" ht="13.5" thickBot="1">
      <c r="B10" s="138"/>
      <c r="C10" s="77" t="s">
        <v>2</v>
      </c>
      <c r="D10" s="71" t="s">
        <v>223</v>
      </c>
      <c r="E10" s="29" t="s">
        <v>267</v>
      </c>
    </row>
    <row r="11" spans="2:5">
      <c r="B11" s="91" t="s">
        <v>3</v>
      </c>
      <c r="C11" s="129" t="s">
        <v>185</v>
      </c>
      <c r="D11" s="257">
        <v>85953.39</v>
      </c>
      <c r="E11" s="258">
        <f>E12</f>
        <v>57250.65</v>
      </c>
    </row>
    <row r="12" spans="2:5">
      <c r="B12" s="173" t="s">
        <v>4</v>
      </c>
      <c r="C12" s="174" t="s">
        <v>5</v>
      </c>
      <c r="D12" s="261">
        <v>85953.39</v>
      </c>
      <c r="E12" s="262">
        <v>57250.65</v>
      </c>
    </row>
    <row r="13" spans="2:5">
      <c r="B13" s="173" t="s">
        <v>6</v>
      </c>
      <c r="C13" s="175" t="s">
        <v>7</v>
      </c>
      <c r="D13" s="261"/>
      <c r="E13" s="262"/>
    </row>
    <row r="14" spans="2:5">
      <c r="B14" s="173" t="s">
        <v>8</v>
      </c>
      <c r="C14" s="175" t="s">
        <v>10</v>
      </c>
      <c r="D14" s="261"/>
      <c r="E14" s="262"/>
    </row>
    <row r="15" spans="2:5">
      <c r="B15" s="173" t="s">
        <v>182</v>
      </c>
      <c r="C15" s="175" t="s">
        <v>11</v>
      </c>
      <c r="D15" s="261"/>
      <c r="E15" s="262"/>
    </row>
    <row r="16" spans="2:5">
      <c r="B16" s="176" t="s">
        <v>183</v>
      </c>
      <c r="C16" s="177" t="s">
        <v>12</v>
      </c>
      <c r="D16" s="263"/>
      <c r="E16" s="264"/>
    </row>
    <row r="17" spans="2:6">
      <c r="B17" s="9" t="s">
        <v>13</v>
      </c>
      <c r="C17" s="11" t="s">
        <v>65</v>
      </c>
      <c r="D17" s="296"/>
      <c r="E17" s="266"/>
    </row>
    <row r="18" spans="2:6">
      <c r="B18" s="173" t="s">
        <v>4</v>
      </c>
      <c r="C18" s="174" t="s">
        <v>11</v>
      </c>
      <c r="D18" s="261"/>
      <c r="E18" s="264"/>
    </row>
    <row r="19" spans="2:6" ht="15" customHeight="1">
      <c r="B19" s="173" t="s">
        <v>6</v>
      </c>
      <c r="C19" s="175" t="s">
        <v>184</v>
      </c>
      <c r="D19" s="261"/>
      <c r="E19" s="262"/>
    </row>
    <row r="20" spans="2:6" ht="13.5" thickBot="1">
      <c r="B20" s="178" t="s">
        <v>8</v>
      </c>
      <c r="C20" s="179" t="s">
        <v>14</v>
      </c>
      <c r="D20" s="267"/>
      <c r="E20" s="268"/>
    </row>
    <row r="21" spans="2:6" ht="13.5" thickBot="1">
      <c r="B21" s="364" t="s">
        <v>186</v>
      </c>
      <c r="C21" s="365"/>
      <c r="D21" s="269">
        <v>85953.39</v>
      </c>
      <c r="E21" s="149">
        <f>E11</f>
        <v>57250.65</v>
      </c>
      <c r="F21" s="78"/>
    </row>
    <row r="22" spans="2:6">
      <c r="B22" s="3"/>
      <c r="C22" s="7"/>
      <c r="D22" s="8"/>
      <c r="E22" s="8"/>
    </row>
    <row r="23" spans="2:6" ht="13.5">
      <c r="B23" s="358" t="s">
        <v>180</v>
      </c>
      <c r="C23" s="368"/>
      <c r="D23" s="368"/>
      <c r="E23" s="368"/>
    </row>
    <row r="24" spans="2:6" ht="15.75" customHeight="1" thickBot="1">
      <c r="B24" s="357" t="s">
        <v>181</v>
      </c>
      <c r="C24" s="369"/>
      <c r="D24" s="369"/>
      <c r="E24" s="369"/>
    </row>
    <row r="25" spans="2:6" ht="13.5" thickBot="1">
      <c r="B25" s="215"/>
      <c r="C25" s="180" t="s">
        <v>2</v>
      </c>
      <c r="D25" s="71" t="s">
        <v>223</v>
      </c>
      <c r="E25" s="29" t="s">
        <v>267</v>
      </c>
    </row>
    <row r="26" spans="2:6">
      <c r="B26" s="96" t="s">
        <v>15</v>
      </c>
      <c r="C26" s="97" t="s">
        <v>16</v>
      </c>
      <c r="D26" s="200">
        <v>100624.35</v>
      </c>
      <c r="E26" s="232">
        <f>D21</f>
        <v>85953.39</v>
      </c>
    </row>
    <row r="27" spans="2:6">
      <c r="B27" s="9" t="s">
        <v>17</v>
      </c>
      <c r="C27" s="10" t="s">
        <v>187</v>
      </c>
      <c r="D27" s="201">
        <v>-16924.090000000004</v>
      </c>
      <c r="E27" s="225">
        <f>E28-E32</f>
        <v>-26738.39</v>
      </c>
      <c r="F27" s="72"/>
    </row>
    <row r="28" spans="2:6">
      <c r="B28" s="9" t="s">
        <v>18</v>
      </c>
      <c r="C28" s="10" t="s">
        <v>19</v>
      </c>
      <c r="D28" s="201">
        <v>0</v>
      </c>
      <c r="E28" s="226">
        <f>E29+E30+E31</f>
        <v>0</v>
      </c>
      <c r="F28" s="72"/>
    </row>
    <row r="29" spans="2:6">
      <c r="B29" s="181" t="s">
        <v>4</v>
      </c>
      <c r="C29" s="174" t="s">
        <v>20</v>
      </c>
      <c r="D29" s="202"/>
      <c r="E29" s="227"/>
      <c r="F29" s="72"/>
    </row>
    <row r="30" spans="2:6">
      <c r="B30" s="181" t="s">
        <v>6</v>
      </c>
      <c r="C30" s="174" t="s">
        <v>21</v>
      </c>
      <c r="D30" s="202"/>
      <c r="E30" s="227"/>
      <c r="F30" s="72"/>
    </row>
    <row r="31" spans="2:6">
      <c r="B31" s="181" t="s">
        <v>8</v>
      </c>
      <c r="C31" s="174" t="s">
        <v>22</v>
      </c>
      <c r="D31" s="202"/>
      <c r="E31" s="227"/>
      <c r="F31" s="72"/>
    </row>
    <row r="32" spans="2:6">
      <c r="B32" s="93" t="s">
        <v>23</v>
      </c>
      <c r="C32" s="11" t="s">
        <v>24</v>
      </c>
      <c r="D32" s="201">
        <v>16924.090000000004</v>
      </c>
      <c r="E32" s="226">
        <f>E33+E35+E37+E39</f>
        <v>26738.39</v>
      </c>
      <c r="F32" s="72"/>
    </row>
    <row r="33" spans="2:6">
      <c r="B33" s="181" t="s">
        <v>4</v>
      </c>
      <c r="C33" s="174" t="s">
        <v>25</v>
      </c>
      <c r="D33" s="202">
        <v>14426.12</v>
      </c>
      <c r="E33" s="227">
        <v>25365.06</v>
      </c>
      <c r="F33" s="72"/>
    </row>
    <row r="34" spans="2:6">
      <c r="B34" s="181" t="s">
        <v>6</v>
      </c>
      <c r="C34" s="174" t="s">
        <v>26</v>
      </c>
      <c r="D34" s="202"/>
      <c r="E34" s="227"/>
      <c r="F34" s="72"/>
    </row>
    <row r="35" spans="2:6">
      <c r="B35" s="181" t="s">
        <v>8</v>
      </c>
      <c r="C35" s="174" t="s">
        <v>27</v>
      </c>
      <c r="D35" s="202">
        <v>560.95000000000005</v>
      </c>
      <c r="E35" s="227">
        <v>405.03</v>
      </c>
      <c r="F35" s="72"/>
    </row>
    <row r="36" spans="2:6">
      <c r="B36" s="181" t="s">
        <v>9</v>
      </c>
      <c r="C36" s="174" t="s">
        <v>28</v>
      </c>
      <c r="D36" s="202"/>
      <c r="E36" s="227"/>
      <c r="F36" s="72"/>
    </row>
    <row r="37" spans="2:6" ht="25.5">
      <c r="B37" s="181" t="s">
        <v>29</v>
      </c>
      <c r="C37" s="174" t="s">
        <v>30</v>
      </c>
      <c r="D37" s="202">
        <v>1399.28</v>
      </c>
      <c r="E37" s="227">
        <v>968.3</v>
      </c>
      <c r="F37" s="72"/>
    </row>
    <row r="38" spans="2:6">
      <c r="B38" s="181" t="s">
        <v>31</v>
      </c>
      <c r="C38" s="174" t="s">
        <v>32</v>
      </c>
      <c r="D38" s="202"/>
      <c r="E38" s="227"/>
      <c r="F38" s="72"/>
    </row>
    <row r="39" spans="2:6">
      <c r="B39" s="182" t="s">
        <v>33</v>
      </c>
      <c r="C39" s="183" t="s">
        <v>34</v>
      </c>
      <c r="D39" s="203">
        <v>537.74</v>
      </c>
      <c r="E39" s="228"/>
      <c r="F39" s="72"/>
    </row>
    <row r="40" spans="2:6" ht="13.5" thickBot="1">
      <c r="B40" s="98" t="s">
        <v>35</v>
      </c>
      <c r="C40" s="99" t="s">
        <v>36</v>
      </c>
      <c r="D40" s="204">
        <v>2253.13</v>
      </c>
      <c r="E40" s="233">
        <v>-1964.35</v>
      </c>
    </row>
    <row r="41" spans="2:6" ht="13.5" thickBot="1">
      <c r="B41" s="100" t="s">
        <v>37</v>
      </c>
      <c r="C41" s="101" t="s">
        <v>38</v>
      </c>
      <c r="D41" s="205">
        <v>85953.390000000014</v>
      </c>
      <c r="E41" s="149">
        <f>E26+E27+E40</f>
        <v>57250.65</v>
      </c>
      <c r="F41" s="78"/>
    </row>
    <row r="42" spans="2:6">
      <c r="B42" s="94"/>
      <c r="C42" s="94"/>
      <c r="D42" s="95"/>
      <c r="E42" s="95"/>
      <c r="F42" s="78"/>
    </row>
    <row r="43" spans="2:6" ht="13.5">
      <c r="B43" s="359" t="s">
        <v>60</v>
      </c>
      <c r="C43" s="371"/>
      <c r="D43" s="371"/>
      <c r="E43" s="371"/>
    </row>
    <row r="44" spans="2:6" ht="18" customHeight="1" thickBot="1">
      <c r="B44" s="357" t="s">
        <v>204</v>
      </c>
      <c r="C44" s="370"/>
      <c r="D44" s="370"/>
      <c r="E44" s="370"/>
    </row>
    <row r="45" spans="2:6" ht="13.5" thickBot="1">
      <c r="B45" s="215"/>
      <c r="C45" s="30" t="s">
        <v>39</v>
      </c>
      <c r="D45" s="71" t="s">
        <v>223</v>
      </c>
      <c r="E45" s="29" t="s">
        <v>267</v>
      </c>
    </row>
    <row r="46" spans="2:6">
      <c r="B46" s="13" t="s">
        <v>18</v>
      </c>
      <c r="C46" s="31" t="s">
        <v>188</v>
      </c>
      <c r="D46" s="102"/>
      <c r="E46" s="28"/>
    </row>
    <row r="47" spans="2:6">
      <c r="B47" s="184" t="s">
        <v>4</v>
      </c>
      <c r="C47" s="185" t="s">
        <v>40</v>
      </c>
      <c r="D47" s="206">
        <v>852.17100000000005</v>
      </c>
      <c r="E47" s="150">
        <v>711.24027999999998</v>
      </c>
    </row>
    <row r="48" spans="2:6">
      <c r="B48" s="186" t="s">
        <v>6</v>
      </c>
      <c r="C48" s="187" t="s">
        <v>41</v>
      </c>
      <c r="D48" s="207">
        <v>711.24027999999998</v>
      </c>
      <c r="E48" s="150">
        <v>487.94549999999998</v>
      </c>
    </row>
    <row r="49" spans="2:5">
      <c r="B49" s="121" t="s">
        <v>23</v>
      </c>
      <c r="C49" s="125" t="s">
        <v>189</v>
      </c>
      <c r="D49" s="208"/>
      <c r="E49" s="150"/>
    </row>
    <row r="50" spans="2:5">
      <c r="B50" s="184" t="s">
        <v>4</v>
      </c>
      <c r="C50" s="185" t="s">
        <v>40</v>
      </c>
      <c r="D50" s="206">
        <v>118.08</v>
      </c>
      <c r="E50" s="150">
        <v>120.85</v>
      </c>
    </row>
    <row r="51" spans="2:5">
      <c r="B51" s="184" t="s">
        <v>6</v>
      </c>
      <c r="C51" s="185" t="s">
        <v>190</v>
      </c>
      <c r="D51" s="209">
        <v>117.55</v>
      </c>
      <c r="E51" s="150">
        <v>116.99</v>
      </c>
    </row>
    <row r="52" spans="2:5">
      <c r="B52" s="184" t="s">
        <v>8</v>
      </c>
      <c r="C52" s="185" t="s">
        <v>191</v>
      </c>
      <c r="D52" s="209">
        <v>121.58</v>
      </c>
      <c r="E52" s="76">
        <v>122.31</v>
      </c>
    </row>
    <row r="53" spans="2:5" ht="13.5" customHeight="1" thickBot="1">
      <c r="B53" s="188" t="s">
        <v>9</v>
      </c>
      <c r="C53" s="189" t="s">
        <v>41</v>
      </c>
      <c r="D53" s="210">
        <v>120.85</v>
      </c>
      <c r="E53" s="234">
        <v>117.33</v>
      </c>
    </row>
    <row r="54" spans="2:5">
      <c r="B54" s="110"/>
      <c r="C54" s="111"/>
      <c r="D54" s="112"/>
      <c r="E54" s="112"/>
    </row>
    <row r="55" spans="2:5" ht="13.5">
      <c r="B55" s="359" t="s">
        <v>62</v>
      </c>
      <c r="C55" s="360"/>
      <c r="D55" s="360"/>
      <c r="E55" s="360"/>
    </row>
    <row r="56" spans="2:5" ht="18.75" customHeight="1" thickBot="1">
      <c r="B56" s="357" t="s">
        <v>192</v>
      </c>
      <c r="C56" s="361"/>
      <c r="D56" s="361"/>
      <c r="E56" s="361"/>
    </row>
    <row r="57" spans="2:5" ht="23.25" thickBot="1">
      <c r="B57" s="352" t="s">
        <v>42</v>
      </c>
      <c r="C57" s="353"/>
      <c r="D57" s="18" t="s">
        <v>205</v>
      </c>
      <c r="E57" s="19" t="s">
        <v>193</v>
      </c>
    </row>
    <row r="58" spans="2:5">
      <c r="B58" s="20" t="s">
        <v>18</v>
      </c>
      <c r="C58" s="127" t="s">
        <v>43</v>
      </c>
      <c r="D58" s="128">
        <f>D64</f>
        <v>57250.65</v>
      </c>
      <c r="E58" s="32">
        <f>D58/E21</f>
        <v>1</v>
      </c>
    </row>
    <row r="59" spans="2:5" ht="25.5">
      <c r="B59" s="124" t="s">
        <v>4</v>
      </c>
      <c r="C59" s="22" t="s">
        <v>44</v>
      </c>
      <c r="D59" s="81">
        <v>0</v>
      </c>
      <c r="E59" s="82">
        <v>0</v>
      </c>
    </row>
    <row r="60" spans="2:5" ht="25.5">
      <c r="B60" s="103" t="s">
        <v>6</v>
      </c>
      <c r="C60" s="15" t="s">
        <v>45</v>
      </c>
      <c r="D60" s="79">
        <v>0</v>
      </c>
      <c r="E60" s="80">
        <v>0</v>
      </c>
    </row>
    <row r="61" spans="2:5">
      <c r="B61" s="103" t="s">
        <v>8</v>
      </c>
      <c r="C61" s="15" t="s">
        <v>46</v>
      </c>
      <c r="D61" s="79">
        <v>0</v>
      </c>
      <c r="E61" s="80">
        <v>0</v>
      </c>
    </row>
    <row r="62" spans="2:5">
      <c r="B62" s="103" t="s">
        <v>9</v>
      </c>
      <c r="C62" s="15" t="s">
        <v>47</v>
      </c>
      <c r="D62" s="79">
        <v>0</v>
      </c>
      <c r="E62" s="80">
        <v>0</v>
      </c>
    </row>
    <row r="63" spans="2:5">
      <c r="B63" s="103" t="s">
        <v>29</v>
      </c>
      <c r="C63" s="15" t="s">
        <v>48</v>
      </c>
      <c r="D63" s="79">
        <v>0</v>
      </c>
      <c r="E63" s="80">
        <v>0</v>
      </c>
    </row>
    <row r="64" spans="2:5">
      <c r="B64" s="124" t="s">
        <v>31</v>
      </c>
      <c r="C64" s="22" t="s">
        <v>49</v>
      </c>
      <c r="D64" s="81">
        <f>E21</f>
        <v>57250.65</v>
      </c>
      <c r="E64" s="82">
        <f>E58</f>
        <v>1</v>
      </c>
    </row>
    <row r="65" spans="2:5">
      <c r="B65" s="124" t="s">
        <v>33</v>
      </c>
      <c r="C65" s="22" t="s">
        <v>194</v>
      </c>
      <c r="D65" s="81">
        <v>0</v>
      </c>
      <c r="E65" s="82">
        <v>0</v>
      </c>
    </row>
    <row r="66" spans="2:5">
      <c r="B66" s="124" t="s">
        <v>50</v>
      </c>
      <c r="C66" s="22" t="s">
        <v>51</v>
      </c>
      <c r="D66" s="81">
        <v>0</v>
      </c>
      <c r="E66" s="82">
        <v>0</v>
      </c>
    </row>
    <row r="67" spans="2:5">
      <c r="B67" s="103" t="s">
        <v>52</v>
      </c>
      <c r="C67" s="15" t="s">
        <v>53</v>
      </c>
      <c r="D67" s="79">
        <v>0</v>
      </c>
      <c r="E67" s="80">
        <v>0</v>
      </c>
    </row>
    <row r="68" spans="2:5">
      <c r="B68" s="103" t="s">
        <v>54</v>
      </c>
      <c r="C68" s="15" t="s">
        <v>55</v>
      </c>
      <c r="D68" s="79">
        <v>0</v>
      </c>
      <c r="E68" s="80">
        <v>0</v>
      </c>
    </row>
    <row r="69" spans="2:5">
      <c r="B69" s="103" t="s">
        <v>56</v>
      </c>
      <c r="C69" s="15" t="s">
        <v>57</v>
      </c>
      <c r="D69" s="311">
        <v>0</v>
      </c>
      <c r="E69" s="80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>
      <c r="B71" s="131" t="s">
        <v>23</v>
      </c>
      <c r="C71" s="122" t="s">
        <v>61</v>
      </c>
      <c r="D71" s="123">
        <v>0</v>
      </c>
      <c r="E71" s="67">
        <v>0</v>
      </c>
    </row>
    <row r="72" spans="2:5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>
      <c r="B73" s="133" t="s">
        <v>62</v>
      </c>
      <c r="C73" s="24" t="s">
        <v>65</v>
      </c>
      <c r="D73" s="25">
        <v>0</v>
      </c>
      <c r="E73" s="26">
        <v>0</v>
      </c>
    </row>
    <row r="74" spans="2:5">
      <c r="B74" s="131" t="s">
        <v>64</v>
      </c>
      <c r="C74" s="122" t="s">
        <v>66</v>
      </c>
      <c r="D74" s="123">
        <f>D58</f>
        <v>57250.65</v>
      </c>
      <c r="E74" s="67">
        <f>E58+E72-E73</f>
        <v>1</v>
      </c>
    </row>
    <row r="75" spans="2:5">
      <c r="B75" s="103" t="s">
        <v>4</v>
      </c>
      <c r="C75" s="15" t="s">
        <v>67</v>
      </c>
      <c r="D75" s="79">
        <f>D74</f>
        <v>57250.65</v>
      </c>
      <c r="E75" s="80">
        <f>E74</f>
        <v>1</v>
      </c>
    </row>
    <row r="76" spans="2:5">
      <c r="B76" s="103" t="s">
        <v>6</v>
      </c>
      <c r="C76" s="15" t="s">
        <v>195</v>
      </c>
      <c r="D76" s="79">
        <v>0</v>
      </c>
      <c r="E76" s="80">
        <v>0</v>
      </c>
    </row>
    <row r="77" spans="2:5" ht="13.5" thickBot="1">
      <c r="B77" s="104" t="s">
        <v>8</v>
      </c>
      <c r="C77" s="17" t="s">
        <v>196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177</vt:i4>
      </vt:variant>
      <vt:variant>
        <vt:lpstr>Zakresy nazwane</vt:lpstr>
      </vt:variant>
      <vt:variant>
        <vt:i4>66</vt:i4>
      </vt:variant>
    </vt:vector>
  </HeadingPairs>
  <TitlesOfParts>
    <vt:vector size="243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Akcji</vt:lpstr>
      <vt:lpstr>Allianz Stabilnego Wzrostu</vt:lpstr>
      <vt:lpstr>Allianz Obligacji Plus</vt:lpstr>
      <vt:lpstr>Allianz Aktywnej Alokacji</vt:lpstr>
      <vt:lpstr>Allianz Akcji Małych i ŚS</vt:lpstr>
      <vt:lpstr>Allianz Pieniężny</vt:lpstr>
      <vt:lpstr>Allianz Polskich Obl.Skarb.</vt:lpstr>
      <vt:lpstr>Allianz Selektywny</vt:lpstr>
      <vt:lpstr>Allianz Akcji Glob.</vt:lpstr>
      <vt:lpstr>Allianz Surowców i Energii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Altus ASZRP</vt:lpstr>
      <vt:lpstr>Aviva Dł.Pap.Korp.</vt:lpstr>
      <vt:lpstr>Aviva MS</vt:lpstr>
      <vt:lpstr>Franklin EDF</vt:lpstr>
      <vt:lpstr>Franklin GFS</vt:lpstr>
      <vt:lpstr>Franklin NR</vt:lpstr>
      <vt:lpstr>Franklin USO</vt:lpstr>
      <vt:lpstr>GS EMDP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Got.</vt:lpstr>
      <vt:lpstr>Investor Indie i Chiny</vt:lpstr>
      <vt:lpstr>Investor Turcja</vt:lpstr>
      <vt:lpstr>Investor OK</vt:lpstr>
      <vt:lpstr>Investor PL</vt:lpstr>
      <vt:lpstr>Investor ZE</vt:lpstr>
      <vt:lpstr>Investor ASW</vt:lpstr>
      <vt:lpstr>Ipopema A</vt:lpstr>
      <vt:lpstr>JPM EMO</vt:lpstr>
      <vt:lpstr>JPM GH</vt:lpstr>
      <vt:lpstr>JPM GSB</vt:lpstr>
      <vt:lpstr>JPM GMO</vt:lpstr>
      <vt:lpstr>Esaliens Akcji</vt:lpstr>
      <vt:lpstr>Esaliens Obligacji</vt:lpstr>
      <vt:lpstr>Esaliens Pieniężny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AŚ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NN D</vt:lpstr>
      <vt:lpstr>Noble AMiŚS</vt:lpstr>
      <vt:lpstr>Noble A</vt:lpstr>
      <vt:lpstr>Noble GR</vt:lpstr>
      <vt:lpstr>Pekao ARW</vt:lpstr>
      <vt:lpstr>Pekao AGD</vt:lpstr>
      <vt:lpstr>Pekao OS</vt:lpstr>
      <vt:lpstr>Pekao G</vt:lpstr>
      <vt:lpstr>Pekao WDRE</vt:lpstr>
      <vt:lpstr>Pekao Surowców i Energii</vt:lpstr>
      <vt:lpstr>Pekao AP</vt:lpstr>
      <vt:lpstr>Pekao DS</vt:lpstr>
      <vt:lpstr>Pekao OP</vt:lpstr>
      <vt:lpstr>Pekao P</vt:lpstr>
      <vt:lpstr>Pekao P+</vt:lpstr>
      <vt:lpstr>Pekao Stab.Inwest.</vt:lpstr>
      <vt:lpstr>Pekao DA2</vt:lpstr>
      <vt:lpstr>Pekao AS</vt:lpstr>
      <vt:lpstr>Pekao AA</vt:lpstr>
      <vt:lpstr>Pekao AE</vt:lpstr>
      <vt:lpstr>Pekao SG</vt:lpstr>
      <vt:lpstr>Pekao AMIŚSRR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EME</vt:lpstr>
      <vt:lpstr>PZU Zrówn.</vt:lpstr>
      <vt:lpstr>PZU ARR</vt:lpstr>
      <vt:lpstr>PZU PDP</vt:lpstr>
      <vt:lpstr>PZU S+</vt:lpstr>
      <vt:lpstr>Quercus A</vt:lpstr>
      <vt:lpstr>Quercus LEV</vt:lpstr>
      <vt:lpstr>Quercus OK</vt:lpstr>
      <vt:lpstr>Quercus R</vt:lpstr>
      <vt:lpstr>Quercus SEL</vt:lpstr>
      <vt:lpstr>Quercus Short</vt:lpstr>
      <vt:lpstr>Quercus Stab.</vt:lpstr>
      <vt:lpstr>Quercus T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GHIB</vt:lpstr>
      <vt:lpstr>Skarbiec K</vt:lpstr>
      <vt:lpstr>Skarbiec L</vt:lpstr>
      <vt:lpstr>Skarbiec MIŚS</vt:lpstr>
      <vt:lpstr>Skarbiec GMIŚS</vt:lpstr>
      <vt:lpstr>Skarbiec SW</vt:lpstr>
      <vt:lpstr>Skarbiec MN</vt:lpstr>
      <vt:lpstr>Skarbiec A</vt:lpstr>
      <vt:lpstr>Skarbiec Brands</vt:lpstr>
      <vt:lpstr>Templeton AG</vt:lpstr>
      <vt:lpstr>Templeton GB</vt:lpstr>
      <vt:lpstr>Templeton GTR</vt:lpstr>
      <vt:lpstr>Templeton LA</vt:lpstr>
      <vt:lpstr>UniAkcje Dyw.</vt:lpstr>
      <vt:lpstr>Uni Akcje MIŚS</vt:lpstr>
      <vt:lpstr>UniAkcje Nowa Europa</vt:lpstr>
      <vt:lpstr>UniAkcje Wzrostu</vt:lpstr>
      <vt:lpstr>UniKorona Akcje</vt:lpstr>
      <vt:lpstr>UniKorona Obligacje</vt:lpstr>
      <vt:lpstr>UniKorona Pieniężny</vt:lpstr>
      <vt:lpstr>UniKorona Zrównoważony</vt:lpstr>
      <vt:lpstr>UniLokata</vt:lpstr>
      <vt:lpstr>UniObligacje Nowa Europa</vt:lpstr>
      <vt:lpstr>UniStabilny Wzrost</vt:lpstr>
      <vt:lpstr>UniObligacje Zamienne</vt:lpstr>
      <vt:lpstr>UniObligacje Aktywny</vt:lpstr>
      <vt:lpstr>UniAkcje Daleki Wschod</vt:lpstr>
      <vt:lpstr>dodatkowedane</vt:lpstr>
      <vt:lpstr>'Aktywny - Surowce i Nowe Gosp.'!Obszar_wydruku</vt:lpstr>
      <vt:lpstr>'Allianz Akcji'!Obszar_wydruku</vt:lpstr>
      <vt:lpstr>'Allianz Obligacji Plus'!Obszar_wydruku</vt:lpstr>
      <vt:lpstr>'Aviva Dł.Pap.Korp.'!Obszar_wydruku</vt:lpstr>
      <vt:lpstr>'Aviva MS'!Obszar_wydruku</vt:lpstr>
      <vt:lpstr>'Franklin EDF'!Obszar_wydruku</vt:lpstr>
      <vt:lpstr>'Franklin NR'!Obszar_wydruku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A'!Obszar_wydruku</vt:lpstr>
      <vt:lpstr>'Noble GR'!Obszar_wydruku</vt:lpstr>
      <vt:lpstr>'Pekao AGD'!Obszar_wydruku</vt:lpstr>
      <vt:lpstr>'Pekao DA2'!Obszar_wydruku</vt:lpstr>
      <vt:lpstr>'Pekao DS'!Obszar_wydruku</vt:lpstr>
      <vt:lpstr>'Pekao G'!Obszar_wydruku</vt:lpstr>
      <vt:lpstr>'Pekao OP'!Obszar_wydruku</vt:lpstr>
      <vt:lpstr>'Pekao P'!Obszar_wydruku</vt:lpstr>
      <vt:lpstr>'Pekao P+'!Obszar_wydruku</vt:lpstr>
      <vt:lpstr>'Pekao Stab.Inwest.'!Obszar_wydruku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EME'!Obszar_wydruku</vt:lpstr>
      <vt:lpstr>'PZU Zrówn.'!Obszar_wydruku</vt:lpstr>
      <vt:lpstr>'Quercus A'!Obszar_wydruku</vt:lpstr>
      <vt:lpstr>'Quercus LEV'!Obszar_wydruku</vt:lpstr>
      <vt:lpstr>'Quercus R'!Obszar_wydruku</vt:lpstr>
      <vt:lpstr>'Quercus Stab.'!Obszar_wydruku</vt:lpstr>
      <vt:lpstr>'Quercus T'!Obszar_wydruku</vt:lpstr>
      <vt:lpstr>'Schroder ISF FME'!Obszar_wydruku</vt:lpstr>
      <vt:lpstr>'Schroder ISF GDG'!Obszar_wydruku</vt:lpstr>
      <vt:lpstr>'Schroder ISF GHIB'!Obszar_wydruku</vt:lpstr>
      <vt:lpstr>'Skarbiec K'!Obszar_wydruku</vt:lpstr>
      <vt:lpstr>'Skarbiec L'!Obszar_wydruku</vt:lpstr>
      <vt:lpstr>'Templeton GTR'!Obszar_wydruku</vt:lpstr>
      <vt:lpstr>'Templeton LA'!Obszar_wydruku</vt:lpstr>
      <vt:lpstr>'UniKorona Obligacje'!Obszar_wydruku</vt:lpstr>
      <vt:lpstr>'UniObligacje Nowa Europa'!Obszar_wydruku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ikrasnodebska</cp:lastModifiedBy>
  <cp:lastPrinted>2015-02-02T16:54:01Z</cp:lastPrinted>
  <dcterms:created xsi:type="dcterms:W3CDTF">2012-07-31T14:09:53Z</dcterms:created>
  <dcterms:modified xsi:type="dcterms:W3CDTF">2019-02-08T07:40:34Z</dcterms:modified>
</cp:coreProperties>
</file>